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11"/>
  <workbookPr defaultThemeVersion="124226"/>
  <mc:AlternateContent xmlns:mc="http://schemas.openxmlformats.org/markup-compatibility/2006">
    <mc:Choice Requires="x15">
      <x15ac:absPath xmlns:x15ac="http://schemas.microsoft.com/office/spreadsheetml/2010/11/ac" url="https://gillettechildrens.sharepoint.com/sites/ResearchTeam/Shared Documents/8. SPA - Finance/Proposal Tools and Templates/"/>
    </mc:Choice>
  </mc:AlternateContent>
  <xr:revisionPtr revIDLastSave="630" documentId="8_{E028978F-F6C9-4F13-8EE7-2C482B08514F}" xr6:coauthVersionLast="47" xr6:coauthVersionMax="47" xr10:uidLastSave="{19C4FAD5-FF5F-4B58-BCFE-3BA3D99A690B}"/>
  <bookViews>
    <workbookView xWindow="-108" yWindow="-108" windowWidth="23256" windowHeight="12720" tabRatio="778" activeTab="1" xr2:uid="{00000000-000D-0000-FFFF-FFFF00000000}"/>
  </bookViews>
  <sheets>
    <sheet name="Cost Summary" sheetId="1" r:id="rId1"/>
    <sheet name="Personnel Costs" sheetId="3" r:id="rId2"/>
    <sheet name="Patient Care Costs" sheetId="2" r:id="rId3"/>
    <sheet name="Other Direct Costs" sheetId="4" r:id="rId4"/>
    <sheet name="Sub Award A Costs" sheetId="5" r:id="rId5"/>
    <sheet name="Sub Award B Costs" sheetId="7" r:id="rId6"/>
    <sheet name="Sub Award C Costs" sheetId="9" r:id="rId7"/>
    <sheet name="Monthly Costs" sheetId="6" r:id="rId8"/>
    <sheet name="References" sheetId="8" r:id="rId9"/>
  </sheets>
  <definedNames>
    <definedName name="_xlnm.Print_Area" localSheetId="0">'Cost Summary'!$B$2:$H$62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3" l="1"/>
  <c r="L32" i="3"/>
  <c r="L31" i="3"/>
  <c r="L30" i="3"/>
  <c r="L29" i="3"/>
  <c r="L28" i="3"/>
  <c r="K32" i="3"/>
  <c r="K31" i="3"/>
  <c r="K30" i="3"/>
  <c r="K29" i="3"/>
  <c r="K28" i="3"/>
  <c r="I32" i="3"/>
  <c r="I31" i="3"/>
  <c r="I30" i="3"/>
  <c r="I29" i="3"/>
  <c r="I28" i="3"/>
  <c r="G32" i="3"/>
  <c r="G31" i="3"/>
  <c r="G30" i="3"/>
  <c r="G29" i="3"/>
  <c r="G28" i="3"/>
  <c r="E32" i="3"/>
  <c r="E31" i="3"/>
  <c r="E30" i="3"/>
  <c r="E29" i="3"/>
  <c r="E28" i="3"/>
  <c r="C32" i="3"/>
  <c r="C31" i="3"/>
  <c r="C30" i="3"/>
  <c r="C29" i="3"/>
  <c r="C28" i="3"/>
  <c r="C11" i="3"/>
  <c r="C10" i="3"/>
  <c r="C9" i="3"/>
  <c r="C8" i="3"/>
  <c r="C7" i="3"/>
  <c r="E11" i="3"/>
  <c r="E10" i="3"/>
  <c r="E9" i="3"/>
  <c r="E8" i="3"/>
  <c r="E7" i="3"/>
  <c r="G11" i="3"/>
  <c r="G10" i="3"/>
  <c r="G9" i="3"/>
  <c r="G8" i="3"/>
  <c r="G7" i="3"/>
  <c r="I11" i="3"/>
  <c r="I10" i="3"/>
  <c r="I9" i="3"/>
  <c r="I8" i="3"/>
  <c r="I7" i="3"/>
  <c r="K7" i="3"/>
  <c r="K8" i="3"/>
  <c r="K9" i="3"/>
  <c r="K10" i="3"/>
  <c r="K11" i="3"/>
  <c r="L7" i="3"/>
  <c r="L8" i="3"/>
  <c r="L9" i="3"/>
  <c r="L10" i="3"/>
  <c r="L11" i="3"/>
  <c r="L20" i="3"/>
  <c r="L21" i="3"/>
  <c r="L22" i="3"/>
  <c r="K20" i="3"/>
  <c r="K21" i="3"/>
  <c r="K22" i="3"/>
  <c r="I20" i="3"/>
  <c r="I21" i="3"/>
  <c r="I22" i="3"/>
  <c r="G19" i="3"/>
  <c r="G20" i="3"/>
  <c r="G21" i="3"/>
  <c r="G22" i="3"/>
  <c r="E18" i="3"/>
  <c r="E19" i="3"/>
  <c r="E20" i="3"/>
  <c r="E21" i="3"/>
  <c r="E22" i="3"/>
  <c r="C18" i="3"/>
  <c r="C19" i="3"/>
  <c r="C20" i="3"/>
  <c r="C21" i="3"/>
  <c r="C22" i="3"/>
  <c r="L17" i="3"/>
  <c r="L18" i="3"/>
  <c r="L19" i="3"/>
  <c r="K16" i="3"/>
  <c r="K17" i="3"/>
  <c r="K18" i="3"/>
  <c r="K19" i="3"/>
  <c r="J16" i="3"/>
  <c r="J17" i="3"/>
  <c r="J18" i="3"/>
  <c r="J19" i="3"/>
  <c r="J20" i="3"/>
  <c r="I16" i="3"/>
  <c r="I17" i="3"/>
  <c r="I18" i="3"/>
  <c r="I19" i="3"/>
  <c r="H16" i="3"/>
  <c r="H17" i="3"/>
  <c r="H18" i="3"/>
  <c r="G16" i="3"/>
  <c r="G17" i="3"/>
  <c r="G18" i="3"/>
  <c r="F16" i="3"/>
  <c r="F17" i="3"/>
  <c r="F18" i="3"/>
  <c r="E16" i="3"/>
  <c r="E17" i="3"/>
  <c r="D16" i="3"/>
  <c r="D17" i="3"/>
  <c r="C16" i="3"/>
  <c r="C17" i="3"/>
  <c r="B16" i="3"/>
  <c r="B17" i="3"/>
  <c r="A17" i="3"/>
  <c r="G20" i="1"/>
  <c r="F20" i="1"/>
  <c r="E20" i="1"/>
  <c r="D20" i="1"/>
  <c r="C20" i="1"/>
  <c r="H19" i="1"/>
  <c r="C42" i="3"/>
  <c r="C43" i="3"/>
  <c r="C44" i="3"/>
  <c r="C45" i="3"/>
  <c r="C46" i="3"/>
  <c r="C47" i="3"/>
  <c r="C41" i="3"/>
  <c r="H48" i="1"/>
  <c r="J48" i="1"/>
  <c r="H49" i="1"/>
  <c r="J49" i="1"/>
  <c r="H50" i="1"/>
  <c r="J50" i="1" s="1"/>
  <c r="C51" i="1"/>
  <c r="D51" i="1"/>
  <c r="E51" i="1"/>
  <c r="F51" i="1"/>
  <c r="G51" i="1"/>
  <c r="H52" i="1"/>
  <c r="J52" i="1" s="1"/>
  <c r="H53" i="1"/>
  <c r="J53" i="1"/>
  <c r="H54" i="1"/>
  <c r="A11" i="3"/>
  <c r="A10" i="3"/>
  <c r="A9" i="3"/>
  <c r="A8" i="3"/>
  <c r="A7" i="3"/>
  <c r="A18" i="3" s="1"/>
  <c r="A6" i="3"/>
  <c r="A16" i="3" s="1"/>
  <c r="L38" i="4"/>
  <c r="J38" i="4"/>
  <c r="H38" i="4"/>
  <c r="F38" i="4"/>
  <c r="L37" i="4"/>
  <c r="J37" i="4"/>
  <c r="H37" i="4"/>
  <c r="F37" i="4"/>
  <c r="L30" i="4"/>
  <c r="J30" i="4"/>
  <c r="H30" i="4"/>
  <c r="F30" i="4"/>
  <c r="L29" i="4"/>
  <c r="J29" i="4"/>
  <c r="H29" i="4"/>
  <c r="F29" i="4"/>
  <c r="L28" i="4"/>
  <c r="J28" i="4"/>
  <c r="H28" i="4"/>
  <c r="F28" i="4"/>
  <c r="L27" i="4"/>
  <c r="J27" i="4"/>
  <c r="H27" i="4"/>
  <c r="F27" i="4"/>
  <c r="L20" i="4"/>
  <c r="J20" i="4"/>
  <c r="H20" i="4"/>
  <c r="F20" i="4"/>
  <c r="L19" i="4"/>
  <c r="J19" i="4"/>
  <c r="H19" i="4"/>
  <c r="F19" i="4"/>
  <c r="L18" i="4"/>
  <c r="J18" i="4"/>
  <c r="H18" i="4"/>
  <c r="H3" i="4"/>
  <c r="F18" i="4"/>
  <c r="F3" i="4"/>
  <c r="L11" i="4"/>
  <c r="J11" i="4"/>
  <c r="H11" i="4"/>
  <c r="L10" i="4"/>
  <c r="J10" i="4"/>
  <c r="H10" i="4"/>
  <c r="L9" i="4"/>
  <c r="J9" i="4"/>
  <c r="H9" i="4"/>
  <c r="L8" i="4"/>
  <c r="J8" i="4"/>
  <c r="H8" i="4"/>
  <c r="L7" i="4"/>
  <c r="J7" i="4"/>
  <c r="H7" i="4"/>
  <c r="L6" i="4"/>
  <c r="J6" i="4"/>
  <c r="H6" i="4"/>
  <c r="L5" i="4"/>
  <c r="J5" i="4"/>
  <c r="H5" i="4"/>
  <c r="L4" i="4"/>
  <c r="J4" i="4"/>
  <c r="H4" i="4"/>
  <c r="L3" i="4"/>
  <c r="J3" i="4"/>
  <c r="F11" i="4"/>
  <c r="F10" i="4"/>
  <c r="F9" i="4"/>
  <c r="F8" i="4"/>
  <c r="F7" i="4"/>
  <c r="F6" i="4"/>
  <c r="F5" i="4"/>
  <c r="F4" i="4"/>
  <c r="D11" i="4"/>
  <c r="V56" i="2"/>
  <c r="V55" i="2"/>
  <c r="V54" i="2"/>
  <c r="V53" i="2"/>
  <c r="V52" i="2"/>
  <c r="V51" i="2"/>
  <c r="V50" i="2"/>
  <c r="V49" i="2"/>
  <c r="V48" i="2"/>
  <c r="V47" i="2"/>
  <c r="V46" i="2"/>
  <c r="V45" i="2"/>
  <c r="V44" i="2"/>
  <c r="V43" i="2"/>
  <c r="V42" i="2"/>
  <c r="V41" i="2"/>
  <c r="V40" i="2"/>
  <c r="V39" i="2"/>
  <c r="V38" i="2"/>
  <c r="V37" i="2"/>
  <c r="V36" i="2"/>
  <c r="V35" i="2"/>
  <c r="V34" i="2"/>
  <c r="V33" i="2"/>
  <c r="V32" i="2"/>
  <c r="V31" i="2"/>
  <c r="V30" i="2"/>
  <c r="V29" i="2"/>
  <c r="V28" i="2"/>
  <c r="V27" i="2"/>
  <c r="V26" i="2"/>
  <c r="V25" i="2"/>
  <c r="V24" i="2"/>
  <c r="V23" i="2"/>
  <c r="R56" i="2"/>
  <c r="R55" i="2"/>
  <c r="R54" i="2"/>
  <c r="R53" i="2"/>
  <c r="R52" i="2"/>
  <c r="R51" i="2"/>
  <c r="R50" i="2"/>
  <c r="R49" i="2"/>
  <c r="R48" i="2"/>
  <c r="R47" i="2"/>
  <c r="R46" i="2"/>
  <c r="R45" i="2"/>
  <c r="R44" i="2"/>
  <c r="R43" i="2"/>
  <c r="R42" i="2"/>
  <c r="R41" i="2"/>
  <c r="R40" i="2"/>
  <c r="R39" i="2"/>
  <c r="R38" i="2"/>
  <c r="R37" i="2"/>
  <c r="R36" i="2"/>
  <c r="R35" i="2"/>
  <c r="R34" i="2"/>
  <c r="R33" i="2"/>
  <c r="R32" i="2"/>
  <c r="R31" i="2"/>
  <c r="R30" i="2"/>
  <c r="R29" i="2"/>
  <c r="R28" i="2"/>
  <c r="R27" i="2"/>
  <c r="R26" i="2"/>
  <c r="R25" i="2"/>
  <c r="R24" i="2"/>
  <c r="R23"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V22" i="2"/>
  <c r="R22" i="2"/>
  <c r="N22"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X47" i="3"/>
  <c r="X46" i="3"/>
  <c r="X45" i="3"/>
  <c r="X44" i="3"/>
  <c r="X43" i="3"/>
  <c r="X42" i="3"/>
  <c r="T47" i="3"/>
  <c r="T46" i="3"/>
  <c r="T45" i="3"/>
  <c r="T44" i="3"/>
  <c r="T43" i="3"/>
  <c r="T42" i="3"/>
  <c r="P47" i="3"/>
  <c r="P46" i="3"/>
  <c r="P45" i="3"/>
  <c r="P44" i="3"/>
  <c r="P43" i="3"/>
  <c r="P42" i="3"/>
  <c r="L42" i="3"/>
  <c r="L47" i="3"/>
  <c r="L46" i="3"/>
  <c r="L45" i="3"/>
  <c r="L44" i="3"/>
  <c r="L43" i="3"/>
  <c r="D23" i="1"/>
  <c r="E23" i="1"/>
  <c r="F23" i="1"/>
  <c r="G23" i="1"/>
  <c r="E66" i="2"/>
  <c r="I66" i="2"/>
  <c r="M66" i="2"/>
  <c r="Q66" i="2"/>
  <c r="U66" i="2"/>
  <c r="G22" i="2"/>
  <c r="K22" i="2"/>
  <c r="O22" i="2"/>
  <c r="S22" i="2"/>
  <c r="W22" i="2"/>
  <c r="Y22" i="2"/>
  <c r="F16" i="1"/>
  <c r="G16" i="1"/>
  <c r="C16" i="1"/>
  <c r="C17" i="1" s="1"/>
  <c r="D16" i="1"/>
  <c r="F12" i="1"/>
  <c r="G12" i="1"/>
  <c r="C12" i="1"/>
  <c r="D12" i="1"/>
  <c r="Y54" i="2"/>
  <c r="W54" i="2"/>
  <c r="S54" i="2"/>
  <c r="T54" i="2"/>
  <c r="O54" i="2"/>
  <c r="P54" i="2"/>
  <c r="K54" i="2"/>
  <c r="G54" i="2"/>
  <c r="AA54" i="2" s="1"/>
  <c r="Y55" i="2"/>
  <c r="W55" i="2"/>
  <c r="S55" i="2"/>
  <c r="O55" i="2"/>
  <c r="K55" i="2"/>
  <c r="G55" i="2"/>
  <c r="AA55" i="2" s="1"/>
  <c r="Y56"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W56" i="2"/>
  <c r="W53" i="2"/>
  <c r="X53" i="2" s="1"/>
  <c r="W52" i="2"/>
  <c r="W51" i="2"/>
  <c r="W50" i="2"/>
  <c r="W49" i="2"/>
  <c r="W48" i="2"/>
  <c r="X48" i="2"/>
  <c r="W47" i="2"/>
  <c r="W46" i="2"/>
  <c r="W45" i="2"/>
  <c r="W44" i="2"/>
  <c r="W43" i="2"/>
  <c r="W42" i="2"/>
  <c r="W41" i="2"/>
  <c r="W40" i="2"/>
  <c r="W39" i="2"/>
  <c r="W38" i="2"/>
  <c r="W37" i="2"/>
  <c r="W36" i="2"/>
  <c r="W35" i="2"/>
  <c r="W34" i="2"/>
  <c r="X34" i="2"/>
  <c r="W33" i="2"/>
  <c r="W32" i="2"/>
  <c r="W31" i="2"/>
  <c r="W30" i="2"/>
  <c r="W29" i="2"/>
  <c r="W28" i="2"/>
  <c r="W27" i="2"/>
  <c r="W26" i="2"/>
  <c r="W25" i="2"/>
  <c r="W24" i="2"/>
  <c r="S56" i="2"/>
  <c r="S53" i="2"/>
  <c r="S52" i="2"/>
  <c r="T52" i="2" s="1"/>
  <c r="S51" i="2"/>
  <c r="S50" i="2"/>
  <c r="S49" i="2"/>
  <c r="S48" i="2"/>
  <c r="S47" i="2"/>
  <c r="S46" i="2"/>
  <c r="S45" i="2"/>
  <c r="S44" i="2"/>
  <c r="S43" i="2"/>
  <c r="S42" i="2"/>
  <c r="S41" i="2"/>
  <c r="S40" i="2"/>
  <c r="S39" i="2"/>
  <c r="T39" i="2"/>
  <c r="S38" i="2"/>
  <c r="S37" i="2"/>
  <c r="S36" i="2"/>
  <c r="T36" i="2"/>
  <c r="S35" i="2"/>
  <c r="S34" i="2"/>
  <c r="S33" i="2"/>
  <c r="S32" i="2"/>
  <c r="S31" i="2"/>
  <c r="T31" i="2"/>
  <c r="S30" i="2"/>
  <c r="T30" i="2"/>
  <c r="S29" i="2"/>
  <c r="S28" i="2"/>
  <c r="S27" i="2"/>
  <c r="S26" i="2"/>
  <c r="S25" i="2"/>
  <c r="S24" i="2"/>
  <c r="O56" i="2"/>
  <c r="O53" i="2"/>
  <c r="P53" i="2" s="1"/>
  <c r="O52" i="2"/>
  <c r="O51" i="2"/>
  <c r="O50" i="2"/>
  <c r="O49" i="2"/>
  <c r="O48" i="2"/>
  <c r="O47" i="2"/>
  <c r="O46" i="2"/>
  <c r="O45" i="2"/>
  <c r="O44" i="2"/>
  <c r="O43" i="2"/>
  <c r="O42" i="2"/>
  <c r="O41" i="2"/>
  <c r="O40" i="2"/>
  <c r="O39" i="2"/>
  <c r="O38" i="2"/>
  <c r="P38" i="2"/>
  <c r="O37" i="2"/>
  <c r="O36" i="2"/>
  <c r="O35" i="2"/>
  <c r="O34" i="2"/>
  <c r="O33" i="2"/>
  <c r="O32" i="2"/>
  <c r="O31" i="2"/>
  <c r="O30" i="2"/>
  <c r="P30" i="2" s="1"/>
  <c r="O29" i="2"/>
  <c r="O28" i="2"/>
  <c r="O27" i="2"/>
  <c r="O26" i="2"/>
  <c r="O25" i="2"/>
  <c r="O24" i="2"/>
  <c r="K56" i="2"/>
  <c r="L56" i="2"/>
  <c r="K53" i="2"/>
  <c r="K52" i="2"/>
  <c r="K51" i="2"/>
  <c r="K50" i="2"/>
  <c r="K49" i="2"/>
  <c r="K48" i="2"/>
  <c r="L48" i="2"/>
  <c r="K47" i="2"/>
  <c r="K46" i="2"/>
  <c r="K45" i="2"/>
  <c r="K44" i="2"/>
  <c r="K43" i="2"/>
  <c r="K42" i="2"/>
  <c r="K41" i="2"/>
  <c r="K40" i="2"/>
  <c r="K39" i="2"/>
  <c r="K38" i="2"/>
  <c r="K37" i="2"/>
  <c r="K36" i="2"/>
  <c r="K35" i="2"/>
  <c r="K34" i="2"/>
  <c r="K33" i="2"/>
  <c r="K32" i="2"/>
  <c r="K31" i="2"/>
  <c r="K30" i="2"/>
  <c r="K29" i="2"/>
  <c r="K28" i="2"/>
  <c r="K27" i="2"/>
  <c r="K26" i="2"/>
  <c r="K25" i="2"/>
  <c r="K24" i="2"/>
  <c r="G25" i="2"/>
  <c r="AA25" i="2" s="1"/>
  <c r="G26" i="2"/>
  <c r="AA26" i="2" s="1"/>
  <c r="G27" i="2"/>
  <c r="AA27" i="2" s="1"/>
  <c r="G28" i="2"/>
  <c r="AA28" i="2" s="1"/>
  <c r="G29" i="2"/>
  <c r="AA29" i="2" s="1"/>
  <c r="H29" i="2"/>
  <c r="G30" i="2"/>
  <c r="AA30" i="2" s="1"/>
  <c r="H30" i="2"/>
  <c r="G31" i="2"/>
  <c r="AA31" i="2" s="1"/>
  <c r="G32" i="2"/>
  <c r="AA32" i="2" s="1"/>
  <c r="G33" i="2"/>
  <c r="AA33" i="2" s="1"/>
  <c r="G34" i="2"/>
  <c r="AA34" i="2" s="1"/>
  <c r="G35" i="2"/>
  <c r="AA35" i="2" s="1"/>
  <c r="G36" i="2"/>
  <c r="AA36" i="2" s="1"/>
  <c r="G37" i="2"/>
  <c r="AA37" i="2" s="1"/>
  <c r="H37" i="2"/>
  <c r="G38" i="2"/>
  <c r="AA38" i="2" s="1"/>
  <c r="H38" i="2"/>
  <c r="G39" i="2"/>
  <c r="AA39" i="2" s="1"/>
  <c r="G40" i="2"/>
  <c r="AA40" i="2" s="1"/>
  <c r="G41" i="2"/>
  <c r="G42" i="2"/>
  <c r="AA42" i="2" s="1"/>
  <c r="G43" i="2"/>
  <c r="AA43" i="2" s="1"/>
  <c r="G44" i="2"/>
  <c r="AA44" i="2" s="1"/>
  <c r="G45" i="2"/>
  <c r="AA45" i="2" s="1"/>
  <c r="G46" i="2"/>
  <c r="AA46" i="2" s="1"/>
  <c r="H46" i="2"/>
  <c r="G47" i="2"/>
  <c r="AA47" i="2" s="1"/>
  <c r="G48" i="2"/>
  <c r="AA48" i="2" s="1"/>
  <c r="G49" i="2"/>
  <c r="G50" i="2"/>
  <c r="AA50" i="2" s="1"/>
  <c r="G51" i="2"/>
  <c r="AA51" i="2" s="1"/>
  <c r="G52" i="2"/>
  <c r="AA52" i="2" s="1"/>
  <c r="G53" i="2"/>
  <c r="AA53" i="2" s="1"/>
  <c r="G56" i="2"/>
  <c r="AA56" i="2" s="1"/>
  <c r="H56" i="2"/>
  <c r="J22" i="3"/>
  <c r="J21" i="3"/>
  <c r="J15" i="3"/>
  <c r="H22" i="3"/>
  <c r="H21" i="3"/>
  <c r="H20" i="3"/>
  <c r="H19" i="3"/>
  <c r="H15" i="3"/>
  <c r="F22" i="3"/>
  <c r="F21" i="3"/>
  <c r="F20" i="3"/>
  <c r="F19" i="3"/>
  <c r="F15" i="3"/>
  <c r="D22" i="3"/>
  <c r="D21" i="3"/>
  <c r="D20" i="3"/>
  <c r="D19" i="3"/>
  <c r="D18" i="3"/>
  <c r="D15" i="3"/>
  <c r="B22" i="3"/>
  <c r="B18" i="3"/>
  <c r="B19" i="3"/>
  <c r="B20" i="3"/>
  <c r="B21" i="3"/>
  <c r="R8" i="3"/>
  <c r="L16" i="3" l="1"/>
  <c r="C21" i="1"/>
  <c r="H20" i="1"/>
  <c r="H51" i="1"/>
  <c r="L25" i="2"/>
  <c r="L26" i="2"/>
  <c r="L27" i="2"/>
  <c r="L28" i="2"/>
  <c r="L29" i="2"/>
  <c r="L32" i="2"/>
  <c r="L33" i="2"/>
  <c r="L34" i="2"/>
  <c r="L35" i="2"/>
  <c r="L36" i="2"/>
  <c r="L37" i="2"/>
  <c r="L38" i="2"/>
  <c r="L40" i="2"/>
  <c r="L41" i="2"/>
  <c r="L42" i="2"/>
  <c r="L43" i="2"/>
  <c r="L44" i="2"/>
  <c r="L45" i="2"/>
  <c r="L46" i="2"/>
  <c r="L49" i="2"/>
  <c r="L50" i="2"/>
  <c r="L52" i="2"/>
  <c r="L53" i="2"/>
  <c r="L54" i="2"/>
  <c r="L55" i="2"/>
  <c r="H53" i="2"/>
  <c r="H50" i="2"/>
  <c r="H45" i="2"/>
  <c r="H42" i="2"/>
  <c r="H34" i="2"/>
  <c r="H26" i="2"/>
  <c r="P24" i="2"/>
  <c r="P25" i="2"/>
  <c r="P26" i="2"/>
  <c r="P27" i="2"/>
  <c r="P29" i="2"/>
  <c r="P31" i="2"/>
  <c r="P32" i="2"/>
  <c r="P33" i="2"/>
  <c r="P34" i="2"/>
  <c r="P35" i="2"/>
  <c r="P37" i="2"/>
  <c r="P39" i="2"/>
  <c r="P40" i="2"/>
  <c r="P41" i="2"/>
  <c r="P42" i="2"/>
  <c r="P43" i="2"/>
  <c r="P45" i="2"/>
  <c r="P46" i="2"/>
  <c r="P47" i="2"/>
  <c r="P48" i="2"/>
  <c r="P49" i="2"/>
  <c r="P50" i="2"/>
  <c r="P51" i="2"/>
  <c r="P55" i="2"/>
  <c r="T24" i="2"/>
  <c r="T25" i="2"/>
  <c r="T26" i="2"/>
  <c r="T27" i="2"/>
  <c r="T28" i="2"/>
  <c r="T32" i="2"/>
  <c r="T34" i="2"/>
  <c r="T35" i="2"/>
  <c r="T38" i="2"/>
  <c r="T40" i="2"/>
  <c r="T42" i="2"/>
  <c r="T43" i="2"/>
  <c r="T44" i="2"/>
  <c r="T46" i="2"/>
  <c r="T47" i="2"/>
  <c r="T48" i="2"/>
  <c r="T50" i="2"/>
  <c r="T51" i="2"/>
  <c r="T53" i="2"/>
  <c r="T55" i="2"/>
  <c r="X24" i="2"/>
  <c r="X26" i="2"/>
  <c r="X27" i="2"/>
  <c r="X28" i="2"/>
  <c r="X29" i="2"/>
  <c r="X31" i="2"/>
  <c r="X33" i="2"/>
  <c r="X35" i="2"/>
  <c r="X36" i="2"/>
  <c r="X37" i="2"/>
  <c r="X39" i="2"/>
  <c r="X41" i="2"/>
  <c r="X42" i="2"/>
  <c r="X43" i="2"/>
  <c r="X44" i="2"/>
  <c r="X45" i="2"/>
  <c r="X47" i="2"/>
  <c r="X49" i="2"/>
  <c r="X50" i="2"/>
  <c r="X51" i="2"/>
  <c r="X52" i="2"/>
  <c r="X54" i="2"/>
  <c r="X55" i="2"/>
  <c r="J51" i="1"/>
  <c r="J54" i="1"/>
  <c r="Z46" i="2"/>
  <c r="Z56" i="2"/>
  <c r="Z30" i="2"/>
  <c r="T56" i="2"/>
  <c r="L30" i="2"/>
  <c r="P56" i="2"/>
  <c r="Z38" i="2"/>
  <c r="Z45" i="2"/>
  <c r="Z34" i="2"/>
  <c r="AB53" i="2"/>
  <c r="Z37" i="2"/>
  <c r="Z29" i="2"/>
  <c r="Z53" i="2"/>
  <c r="Z50" i="2"/>
  <c r="AB26" i="2"/>
  <c r="AB42" i="2"/>
  <c r="Z26" i="2"/>
  <c r="Z49" i="2"/>
  <c r="AB50" i="2"/>
  <c r="Z42" i="2"/>
  <c r="AB34" i="2"/>
  <c r="Z41" i="2"/>
  <c r="H22" i="2"/>
  <c r="T22" i="2"/>
  <c r="L22" i="2"/>
  <c r="P22" i="2"/>
  <c r="Z22" i="2"/>
  <c r="AA22" i="2"/>
  <c r="X22" i="2"/>
  <c r="Z54" i="2"/>
  <c r="H54" i="2"/>
  <c r="AB54" i="2" s="1"/>
  <c r="H52" i="2"/>
  <c r="Z52" i="2"/>
  <c r="H51" i="2"/>
  <c r="Z51" i="2"/>
  <c r="H49" i="2"/>
  <c r="AA49" i="2"/>
  <c r="H48" i="2"/>
  <c r="AB48" i="2" s="1"/>
  <c r="Z48" i="2"/>
  <c r="H47" i="2"/>
  <c r="Z47" i="2"/>
  <c r="H44" i="2"/>
  <c r="Z44" i="2"/>
  <c r="H43" i="2"/>
  <c r="AB43" i="2" s="1"/>
  <c r="Z43" i="2"/>
  <c r="H41" i="2"/>
  <c r="AA41" i="2"/>
  <c r="H40" i="2"/>
  <c r="Z40" i="2"/>
  <c r="H39" i="2"/>
  <c r="Z39" i="2"/>
  <c r="H36" i="2"/>
  <c r="Z36" i="2"/>
  <c r="H35" i="2"/>
  <c r="AB35" i="2" s="1"/>
  <c r="Z35" i="2"/>
  <c r="H33" i="2"/>
  <c r="Z33" i="2"/>
  <c r="H32" i="2"/>
  <c r="Z32" i="2"/>
  <c r="H31" i="2"/>
  <c r="Z31" i="2"/>
  <c r="H28" i="2"/>
  <c r="Z28" i="2"/>
  <c r="H27" i="2"/>
  <c r="AB27" i="2" s="1"/>
  <c r="Z27" i="2"/>
  <c r="H25" i="2"/>
  <c r="Z25" i="2"/>
  <c r="L31" i="2"/>
  <c r="L39" i="2"/>
  <c r="L47" i="2"/>
  <c r="L51" i="2"/>
  <c r="P28" i="2"/>
  <c r="P36" i="2"/>
  <c r="P44" i="2"/>
  <c r="P52" i="2"/>
  <c r="T29" i="2"/>
  <c r="AB29" i="2" s="1"/>
  <c r="T33" i="2"/>
  <c r="T37" i="2"/>
  <c r="AB37" i="2" s="1"/>
  <c r="T41" i="2"/>
  <c r="T45" i="2"/>
  <c r="AB45" i="2" s="1"/>
  <c r="T49" i="2"/>
  <c r="X25" i="2"/>
  <c r="X30" i="2"/>
  <c r="X32" i="2"/>
  <c r="X38" i="2"/>
  <c r="AB38" i="2" s="1"/>
  <c r="X40" i="2"/>
  <c r="X46" i="2"/>
  <c r="AB46" i="2" s="1"/>
  <c r="X56" i="2"/>
  <c r="Z55" i="2"/>
  <c r="H55" i="2"/>
  <c r="AB55" i="2" s="1"/>
  <c r="L24" i="2"/>
  <c r="S15" i="3"/>
  <c r="P17" i="3"/>
  <c r="Q17" i="3" s="1"/>
  <c r="S17" i="3" s="1"/>
  <c r="P18" i="3"/>
  <c r="P19" i="3"/>
  <c r="Q19" i="3" s="1"/>
  <c r="S19" i="3" s="1"/>
  <c r="P20" i="3"/>
  <c r="P21" i="3"/>
  <c r="Q21" i="3" s="1"/>
  <c r="S21" i="3" s="1"/>
  <c r="P22" i="3"/>
  <c r="P23" i="3"/>
  <c r="Q23" i="3" s="1"/>
  <c r="S23" i="3" s="1"/>
  <c r="P24" i="3"/>
  <c r="P25" i="3"/>
  <c r="Q25" i="3" s="1"/>
  <c r="S25" i="3" s="1"/>
  <c r="P26" i="3"/>
  <c r="P27" i="3"/>
  <c r="Q27" i="3" s="1"/>
  <c r="S27" i="3" s="1"/>
  <c r="P28" i="3"/>
  <c r="Q28" i="3" s="1"/>
  <c r="S28" i="3" s="1"/>
  <c r="P15" i="3"/>
  <c r="R4" i="3"/>
  <c r="Q18" i="3"/>
  <c r="S18" i="3" s="1"/>
  <c r="Q20" i="3"/>
  <c r="S20" i="3" s="1"/>
  <c r="Q22" i="3"/>
  <c r="S22" i="3" s="1"/>
  <c r="Q24" i="3"/>
  <c r="S24" i="3" s="1"/>
  <c r="Q26" i="3"/>
  <c r="S26" i="3" s="1"/>
  <c r="R6" i="3"/>
  <c r="H42" i="3"/>
  <c r="H43" i="3"/>
  <c r="H44" i="3"/>
  <c r="H45" i="3"/>
  <c r="H46" i="3"/>
  <c r="H47" i="3"/>
  <c r="R5" i="3"/>
  <c r="R7" i="3"/>
  <c r="R9" i="3"/>
  <c r="R10" i="3"/>
  <c r="R3" i="3"/>
  <c r="E16" i="1"/>
  <c r="C13" i="1"/>
  <c r="C25" i="1" s="1"/>
  <c r="C23" i="1"/>
  <c r="H23" i="1" s="1"/>
  <c r="H15" i="1"/>
  <c r="H11" i="1"/>
  <c r="E12" i="1"/>
  <c r="G24" i="1"/>
  <c r="M11" i="4"/>
  <c r="C8" i="1"/>
  <c r="C7" i="1"/>
  <c r="D37" i="4"/>
  <c r="D38" i="4"/>
  <c r="H39" i="4"/>
  <c r="E9" i="1" s="1"/>
  <c r="J39" i="4"/>
  <c r="F9" i="1" s="1"/>
  <c r="D31" i="4"/>
  <c r="D29" i="4"/>
  <c r="M29" i="4"/>
  <c r="D30" i="4"/>
  <c r="D27" i="4"/>
  <c r="D28" i="4"/>
  <c r="L31" i="4"/>
  <c r="G8" i="1" s="1"/>
  <c r="M28" i="4"/>
  <c r="D20" i="4"/>
  <c r="M20" i="4" s="1"/>
  <c r="M19" i="4"/>
  <c r="D19" i="4"/>
  <c r="D18" i="4"/>
  <c r="D21" i="4" s="1"/>
  <c r="F21" i="4"/>
  <c r="D7" i="1" s="1"/>
  <c r="H21" i="4"/>
  <c r="E7" i="1" s="1"/>
  <c r="J21" i="4"/>
  <c r="F7" i="1" s="1"/>
  <c r="L21" i="4"/>
  <c r="G7" i="1" s="1"/>
  <c r="M18" i="4"/>
  <c r="A27" i="3"/>
  <c r="A28" i="3"/>
  <c r="A29" i="3"/>
  <c r="A30" i="3"/>
  <c r="A31" i="3"/>
  <c r="A32" i="3"/>
  <c r="E47" i="3"/>
  <c r="A19" i="3"/>
  <c r="A20" i="3"/>
  <c r="A21" i="3"/>
  <c r="A22" i="3"/>
  <c r="E46" i="3"/>
  <c r="E45" i="3"/>
  <c r="E44" i="3"/>
  <c r="Y44" i="3" l="1"/>
  <c r="U44" i="3"/>
  <c r="Q44" i="3"/>
  <c r="M44" i="3"/>
  <c r="Y45" i="3"/>
  <c r="U45" i="3"/>
  <c r="Q45" i="3"/>
  <c r="M45" i="3"/>
  <c r="Y46" i="3"/>
  <c r="U46" i="3"/>
  <c r="Q46" i="3"/>
  <c r="M46" i="3"/>
  <c r="Y47" i="3"/>
  <c r="U47" i="3"/>
  <c r="Q47" i="3"/>
  <c r="M47" i="3"/>
  <c r="S3" i="3"/>
  <c r="T3" i="3" s="1"/>
  <c r="X41" i="3"/>
  <c r="T41" i="3"/>
  <c r="P41" i="3"/>
  <c r="L41" i="3"/>
  <c r="L48" i="3" s="1"/>
  <c r="H41" i="3"/>
  <c r="D21" i="1"/>
  <c r="AB56" i="2"/>
  <c r="AB30" i="2"/>
  <c r="AB22" i="2"/>
  <c r="AB25" i="2"/>
  <c r="AB28" i="2"/>
  <c r="AB31" i="2"/>
  <c r="AB32" i="2"/>
  <c r="AB33" i="2"/>
  <c r="AB36" i="2"/>
  <c r="AB39" i="2"/>
  <c r="AB40" i="2"/>
  <c r="AB41" i="2"/>
  <c r="AB44" i="2"/>
  <c r="AB47" i="2"/>
  <c r="AB49" i="2"/>
  <c r="AB51" i="2"/>
  <c r="AB52" i="2"/>
  <c r="I45" i="3"/>
  <c r="S6" i="3"/>
  <c r="T6" i="3" s="1"/>
  <c r="N47" i="3"/>
  <c r="I44" i="3"/>
  <c r="J44" i="3" s="1"/>
  <c r="R46" i="3"/>
  <c r="V47" i="3"/>
  <c r="I47" i="3"/>
  <c r="I46" i="3"/>
  <c r="J46" i="3" s="1"/>
  <c r="E24" i="1"/>
  <c r="D9" i="6" s="1"/>
  <c r="H31" i="1"/>
  <c r="F24" i="1"/>
  <c r="E9" i="6" s="1"/>
  <c r="D24" i="1"/>
  <c r="H16" i="1"/>
  <c r="J16" i="1" s="1"/>
  <c r="C24" i="1"/>
  <c r="B9" i="6" s="1"/>
  <c r="H12" i="1"/>
  <c r="J12" i="1" s="1"/>
  <c r="D17" i="1"/>
  <c r="D13" i="1"/>
  <c r="V44" i="3"/>
  <c r="L39" i="4"/>
  <c r="G9" i="1" s="1"/>
  <c r="F39" i="4"/>
  <c r="D9" i="1" s="1"/>
  <c r="M37" i="4"/>
  <c r="J31" i="4"/>
  <c r="F8" i="1" s="1"/>
  <c r="H31" i="4"/>
  <c r="E8" i="1" s="1"/>
  <c r="M27" i="4"/>
  <c r="F31" i="4"/>
  <c r="D8" i="1" s="1"/>
  <c r="M21" i="4"/>
  <c r="J7" i="1" s="1"/>
  <c r="M38" i="4"/>
  <c r="M30" i="4"/>
  <c r="D39" i="4"/>
  <c r="C9" i="1" s="1"/>
  <c r="F47" i="3"/>
  <c r="J47" i="3"/>
  <c r="R47" i="3"/>
  <c r="Z47" i="3"/>
  <c r="Z44" i="3"/>
  <c r="F44" i="3"/>
  <c r="J45" i="3"/>
  <c r="F46" i="3"/>
  <c r="F45" i="3"/>
  <c r="G24" i="2"/>
  <c r="AA24" i="2" s="1"/>
  <c r="Z24" i="2"/>
  <c r="F20" i="6"/>
  <c r="E20" i="6"/>
  <c r="D20" i="6"/>
  <c r="C20" i="6"/>
  <c r="B20" i="6"/>
  <c r="F9" i="6"/>
  <c r="F8" i="6"/>
  <c r="E8" i="6"/>
  <c r="D8" i="6"/>
  <c r="C8" i="6"/>
  <c r="B8" i="6"/>
  <c r="A10" i="6"/>
  <c r="E21" i="1" l="1"/>
  <c r="M39" i="4"/>
  <c r="J9" i="1" s="1"/>
  <c r="M31" i="4"/>
  <c r="J8" i="1" s="1"/>
  <c r="B10" i="6"/>
  <c r="C9" i="6"/>
  <c r="E17" i="1"/>
  <c r="F17" i="1" s="1"/>
  <c r="G17" i="1" s="1"/>
  <c r="H24" i="2"/>
  <c r="AB24" i="2" s="1"/>
  <c r="E13" i="1"/>
  <c r="D25" i="1"/>
  <c r="P48" i="3"/>
  <c r="N45" i="3"/>
  <c r="V45" i="3"/>
  <c r="R45" i="3"/>
  <c r="Z45" i="3"/>
  <c r="Z46" i="3"/>
  <c r="V46" i="3"/>
  <c r="N46" i="3"/>
  <c r="N44" i="3"/>
  <c r="X48" i="3"/>
  <c r="T48" i="3"/>
  <c r="F21" i="1" l="1"/>
  <c r="H17" i="1"/>
  <c r="J17" i="1" s="1"/>
  <c r="F13" i="1"/>
  <c r="E25" i="1"/>
  <c r="C10" i="6"/>
  <c r="G21" i="1" l="1"/>
  <c r="H21" i="1"/>
  <c r="I17" i="1"/>
  <c r="G13" i="1"/>
  <c r="G25" i="1" s="1"/>
  <c r="F25" i="1"/>
  <c r="D10" i="6"/>
  <c r="I21" i="1" l="1"/>
  <c r="I25" i="1"/>
  <c r="H13" i="1"/>
  <c r="E10" i="6"/>
  <c r="J13" i="1" l="1"/>
  <c r="I13" i="1"/>
  <c r="H25" i="1"/>
  <c r="F10" i="6"/>
  <c r="G10" i="6" s="1"/>
  <c r="J25" i="1" l="1"/>
  <c r="A23" i="6"/>
  <c r="A21" i="6"/>
  <c r="I21" i="6" s="1"/>
  <c r="A20" i="6"/>
  <c r="I20" i="6" s="1"/>
  <c r="A19" i="6"/>
  <c r="I19" i="6" s="1"/>
  <c r="A18" i="6"/>
  <c r="I18" i="6" s="1"/>
  <c r="A17" i="6"/>
  <c r="A14" i="6"/>
  <c r="I14" i="6" s="1"/>
  <c r="A13" i="6"/>
  <c r="I13" i="6" s="1"/>
  <c r="A12" i="6"/>
  <c r="I12" i="6" s="1"/>
  <c r="A11" i="6"/>
  <c r="I11" i="6" s="1"/>
  <c r="A9" i="6"/>
  <c r="I9" i="6" s="1"/>
  <c r="A8" i="6"/>
  <c r="I8" i="6" s="1"/>
  <c r="A7" i="6"/>
  <c r="I7" i="6" s="1"/>
  <c r="A6" i="6"/>
  <c r="I6" i="6" s="1"/>
  <c r="A5" i="6"/>
  <c r="I5" i="6" s="1"/>
  <c r="A4" i="6"/>
  <c r="I4" i="6" s="1"/>
  <c r="A3" i="6"/>
  <c r="I3" i="6" s="1"/>
  <c r="A2" i="6"/>
  <c r="I2" i="6" s="1"/>
  <c r="G19" i="6"/>
  <c r="O19" i="6" s="1"/>
  <c r="G9" i="6"/>
  <c r="K8" i="6"/>
  <c r="O20" i="6"/>
  <c r="N20" i="6"/>
  <c r="M20" i="6"/>
  <c r="L20" i="6"/>
  <c r="K20" i="6"/>
  <c r="J20" i="6"/>
  <c r="Y20" i="6" s="1"/>
  <c r="N9" i="6"/>
  <c r="M9" i="6"/>
  <c r="L9" i="6"/>
  <c r="K9" i="6"/>
  <c r="N8" i="6"/>
  <c r="M8" i="6"/>
  <c r="L8" i="6"/>
  <c r="J9" i="6" l="1"/>
  <c r="X9" i="6" s="1"/>
  <c r="G8" i="6"/>
  <c r="O8" i="6" s="1"/>
  <c r="R20" i="6"/>
  <c r="Z20" i="6"/>
  <c r="V20" i="6"/>
  <c r="O9" i="6"/>
  <c r="J8" i="6"/>
  <c r="S20" i="6"/>
  <c r="W20" i="6"/>
  <c r="AA20" i="6"/>
  <c r="T20" i="6"/>
  <c r="X20" i="6"/>
  <c r="Q20" i="6"/>
  <c r="U20" i="6"/>
  <c r="W9" i="6" l="1"/>
  <c r="R9" i="6"/>
  <c r="U9" i="6"/>
  <c r="AA9" i="6"/>
  <c r="Q9" i="6"/>
  <c r="Z9" i="6"/>
  <c r="Y9" i="6"/>
  <c r="T9" i="6"/>
  <c r="V9" i="6"/>
  <c r="S9" i="6"/>
  <c r="X8" i="6"/>
  <c r="T8" i="6"/>
  <c r="Z8" i="6"/>
  <c r="V8" i="6"/>
  <c r="R8" i="6"/>
  <c r="AA8" i="6"/>
  <c r="S8" i="6"/>
  <c r="Y8" i="6"/>
  <c r="Q8" i="6"/>
  <c r="W8" i="6"/>
  <c r="U8" i="6"/>
  <c r="D4" i="4" l="1"/>
  <c r="D5" i="4"/>
  <c r="D6" i="4"/>
  <c r="D7" i="4"/>
  <c r="D8" i="4"/>
  <c r="D9" i="4"/>
  <c r="D10" i="4"/>
  <c r="D3" i="4"/>
  <c r="Y23" i="2"/>
  <c r="Y66" i="2" s="1"/>
  <c r="W23" i="2"/>
  <c r="W66" i="2" s="1"/>
  <c r="V66" i="2"/>
  <c r="S23" i="2"/>
  <c r="S66" i="2" s="1"/>
  <c r="R66" i="2"/>
  <c r="O23" i="2"/>
  <c r="O66" i="2" s="1"/>
  <c r="N66" i="2"/>
  <c r="K23" i="2"/>
  <c r="K66" i="2" s="1"/>
  <c r="J66" i="2"/>
  <c r="G23" i="2"/>
  <c r="G66" i="2" s="1"/>
  <c r="F66" i="2"/>
  <c r="H3" i="2"/>
  <c r="H4" i="2"/>
  <c r="H5" i="2"/>
  <c r="H6" i="2"/>
  <c r="H7" i="2"/>
  <c r="H8" i="2"/>
  <c r="H9" i="2"/>
  <c r="H10" i="2"/>
  <c r="H11" i="2"/>
  <c r="H12" i="2"/>
  <c r="H13" i="2"/>
  <c r="H14" i="2"/>
  <c r="H15" i="2"/>
  <c r="Z23" i="2" l="1"/>
  <c r="Z66" i="2" s="1"/>
  <c r="X23" i="2"/>
  <c r="X66" i="2" s="1"/>
  <c r="M8" i="4"/>
  <c r="M6" i="4"/>
  <c r="M10" i="4"/>
  <c r="M7" i="4"/>
  <c r="M5" i="4"/>
  <c r="M9" i="4"/>
  <c r="M4" i="4"/>
  <c r="D12" i="4"/>
  <c r="AA23" i="2"/>
  <c r="AA66" i="2" s="1"/>
  <c r="F2" i="2"/>
  <c r="M3" i="4"/>
  <c r="G2" i="2"/>
  <c r="T23" i="2"/>
  <c r="T66" i="2" s="1"/>
  <c r="E2" i="2"/>
  <c r="D2" i="2"/>
  <c r="C2" i="2"/>
  <c r="P23" i="2"/>
  <c r="P66" i="2" s="1"/>
  <c r="L23" i="2"/>
  <c r="L66" i="2" s="1"/>
  <c r="H23" i="2"/>
  <c r="H66" i="2" s="1"/>
  <c r="G38" i="1" l="1"/>
  <c r="F19" i="6" s="1"/>
  <c r="N19" i="6" s="1"/>
  <c r="F38" i="1"/>
  <c r="E19" i="6" s="1"/>
  <c r="M19" i="6" s="1"/>
  <c r="AB23" i="2"/>
  <c r="AB66" i="2" s="1"/>
  <c r="E38" i="1"/>
  <c r="D19" i="6" s="1"/>
  <c r="L19" i="6" s="1"/>
  <c r="C38" i="1"/>
  <c r="D38" i="1"/>
  <c r="C19" i="6" l="1"/>
  <c r="K19" i="6" s="1"/>
  <c r="B19" i="6"/>
  <c r="J19" i="6" s="1"/>
  <c r="W19" i="6" s="1"/>
  <c r="H38" i="1"/>
  <c r="J38" i="1"/>
  <c r="B15" i="3"/>
  <c r="E43" i="3"/>
  <c r="E42" i="3"/>
  <c r="E41" i="3"/>
  <c r="S4" i="3"/>
  <c r="T4" i="3" s="1"/>
  <c r="Y42" i="3" l="1"/>
  <c r="U42" i="3"/>
  <c r="Q42" i="3"/>
  <c r="M42" i="3"/>
  <c r="Y43" i="3"/>
  <c r="U43" i="3"/>
  <c r="Q43" i="3"/>
  <c r="M43" i="3"/>
  <c r="Q41" i="3"/>
  <c r="U41" i="3"/>
  <c r="Y41" i="3"/>
  <c r="M41" i="3"/>
  <c r="I41" i="3"/>
  <c r="Z19" i="6"/>
  <c r="S19" i="6"/>
  <c r="R19" i="6"/>
  <c r="U19" i="6"/>
  <c r="Q19" i="6"/>
  <c r="T19" i="6"/>
  <c r="V19" i="6"/>
  <c r="X19" i="6"/>
  <c r="I42" i="3"/>
  <c r="V42" i="3"/>
  <c r="Z42" i="3"/>
  <c r="Z43" i="3"/>
  <c r="R44" i="3"/>
  <c r="I43" i="3"/>
  <c r="V43" i="3"/>
  <c r="AA19" i="6"/>
  <c r="Y19" i="6"/>
  <c r="F41" i="3"/>
  <c r="F12" i="4"/>
  <c r="H12" i="4"/>
  <c r="J12" i="4"/>
  <c r="L12" i="4"/>
  <c r="G18" i="6"/>
  <c r="K15" i="3" l="1"/>
  <c r="I15" i="3"/>
  <c r="G15" i="3"/>
  <c r="E15" i="3"/>
  <c r="E5" i="3"/>
  <c r="E26" i="3" s="1"/>
  <c r="C5" i="3"/>
  <c r="K5" i="3"/>
  <c r="K26" i="3" s="1"/>
  <c r="G5" i="3"/>
  <c r="I5" i="3"/>
  <c r="K23" i="3"/>
  <c r="C15" i="3"/>
  <c r="E23" i="3"/>
  <c r="G23" i="3"/>
  <c r="I23" i="3"/>
  <c r="R42" i="3"/>
  <c r="R43" i="3"/>
  <c r="N41" i="3"/>
  <c r="M48" i="3"/>
  <c r="Z41" i="3"/>
  <c r="Z48" i="3" s="1"/>
  <c r="Y48" i="3"/>
  <c r="R41" i="3"/>
  <c r="Q48" i="3"/>
  <c r="V41" i="3"/>
  <c r="V48" i="3" s="1"/>
  <c r="U48" i="3"/>
  <c r="N42" i="3"/>
  <c r="G21" i="6"/>
  <c r="O21" i="6" s="1"/>
  <c r="O18" i="6"/>
  <c r="M12" i="4"/>
  <c r="J42" i="3"/>
  <c r="H24" i="1"/>
  <c r="C26" i="3" l="1"/>
  <c r="J23" i="1"/>
  <c r="J24" i="1"/>
  <c r="R48" i="3"/>
  <c r="L15" i="3"/>
  <c r="N43" i="3" l="1"/>
  <c r="N48" i="3" s="1"/>
  <c r="J43" i="3" l="1"/>
  <c r="S8" i="3" l="1"/>
  <c r="T8" i="3" s="1"/>
  <c r="S9" i="3" l="1"/>
  <c r="S5" i="3"/>
  <c r="S10" i="3" l="1"/>
  <c r="I48" i="3" s="1"/>
  <c r="S7" i="3"/>
  <c r="T7" i="3" s="1"/>
  <c r="F16" i="2"/>
  <c r="G16" i="2"/>
  <c r="F43" i="3"/>
  <c r="T5" i="3"/>
  <c r="T9" i="3"/>
  <c r="T10" i="3" l="1"/>
  <c r="L5" i="3"/>
  <c r="H48" i="3"/>
  <c r="J41" i="3"/>
  <c r="J48" i="3" s="1"/>
  <c r="G26" i="3"/>
  <c r="I26" i="3"/>
  <c r="D16" i="2"/>
  <c r="E16" i="2"/>
  <c r="H2" i="2"/>
  <c r="I2" i="2" s="1"/>
  <c r="C16" i="2"/>
  <c r="C5" i="1" s="1"/>
  <c r="L26" i="3" l="1"/>
  <c r="H16" i="2"/>
  <c r="D5" i="1" l="1"/>
  <c r="E5" i="1"/>
  <c r="D4" i="6" s="1"/>
  <c r="L4" i="6" s="1"/>
  <c r="C7" i="6"/>
  <c r="K7" i="6" s="1"/>
  <c r="D7" i="6"/>
  <c r="L7" i="6" s="1"/>
  <c r="E7" i="6"/>
  <c r="M7" i="6" s="1"/>
  <c r="F7" i="6"/>
  <c r="N7" i="6" s="1"/>
  <c r="D5" i="6"/>
  <c r="L5" i="6" s="1"/>
  <c r="E5" i="6"/>
  <c r="M5" i="6" s="1"/>
  <c r="F5" i="6"/>
  <c r="N5" i="6" s="1"/>
  <c r="C6" i="6"/>
  <c r="K6" i="6" s="1"/>
  <c r="D6" i="6"/>
  <c r="L6" i="6" s="1"/>
  <c r="E6" i="6"/>
  <c r="M6" i="6" s="1"/>
  <c r="F6" i="6"/>
  <c r="N6" i="6" s="1"/>
  <c r="B6" i="6"/>
  <c r="D6" i="1"/>
  <c r="E6" i="1"/>
  <c r="D3" i="6" s="1"/>
  <c r="L3" i="6" s="1"/>
  <c r="F6" i="1"/>
  <c r="E3" i="6" s="1"/>
  <c r="M3" i="6" s="1"/>
  <c r="G6" i="1"/>
  <c r="F3" i="6" s="1"/>
  <c r="N3" i="6" s="1"/>
  <c r="C6" i="1"/>
  <c r="F5" i="1"/>
  <c r="E4" i="6" s="1"/>
  <c r="M4" i="6" s="1"/>
  <c r="G5" i="1"/>
  <c r="F4" i="6" s="1"/>
  <c r="N4" i="6" s="1"/>
  <c r="C3" i="6" l="1"/>
  <c r="K3" i="6" s="1"/>
  <c r="C4" i="6"/>
  <c r="K4" i="6" s="1"/>
  <c r="B3" i="6"/>
  <c r="J6" i="1"/>
  <c r="B4" i="6"/>
  <c r="J5" i="1"/>
  <c r="J6" i="6"/>
  <c r="G6" i="6"/>
  <c r="O6" i="6" s="1"/>
  <c r="H6" i="1"/>
  <c r="B5" i="6"/>
  <c r="H7" i="1"/>
  <c r="H5" i="1"/>
  <c r="C5" i="6"/>
  <c r="K5" i="6" s="1"/>
  <c r="G3" i="6" l="1"/>
  <c r="O3" i="6" s="1"/>
  <c r="G4" i="6"/>
  <c r="O4" i="6" s="1"/>
  <c r="J4" i="6"/>
  <c r="AA4" i="6" s="1"/>
  <c r="J3" i="6"/>
  <c r="T3" i="6" s="1"/>
  <c r="G5" i="6"/>
  <c r="O5" i="6" s="1"/>
  <c r="J5" i="6"/>
  <c r="H9" i="1"/>
  <c r="B7" i="6"/>
  <c r="V6" i="6"/>
  <c r="W6" i="6"/>
  <c r="R6" i="6"/>
  <c r="U6" i="6"/>
  <c r="X6" i="6"/>
  <c r="T6" i="6"/>
  <c r="AA6" i="6"/>
  <c r="S6" i="6"/>
  <c r="Y6" i="6"/>
  <c r="Z6" i="6"/>
  <c r="Q6" i="6"/>
  <c r="H8" i="1"/>
  <c r="S4" i="6" l="1"/>
  <c r="V4" i="6"/>
  <c r="U4" i="6"/>
  <c r="Q4" i="6"/>
  <c r="T4" i="6"/>
  <c r="R4" i="6"/>
  <c r="Z4" i="6"/>
  <c r="W4" i="6"/>
  <c r="X4" i="6"/>
  <c r="Y4" i="6"/>
  <c r="U3" i="6"/>
  <c r="Q3" i="6"/>
  <c r="AA3" i="6"/>
  <c r="V3" i="6"/>
  <c r="R3" i="6"/>
  <c r="Z3" i="6"/>
  <c r="Y3" i="6"/>
  <c r="S3" i="6"/>
  <c r="X3" i="6"/>
  <c r="W3" i="6"/>
  <c r="J7" i="6"/>
  <c r="G7" i="6"/>
  <c r="O7" i="6" s="1"/>
  <c r="V5" i="6"/>
  <c r="T5" i="6"/>
  <c r="Y5" i="6"/>
  <c r="Z5" i="6"/>
  <c r="U5" i="6"/>
  <c r="X5" i="6"/>
  <c r="AA5" i="6"/>
  <c r="S5" i="6"/>
  <c r="R5" i="6"/>
  <c r="Q5" i="6"/>
  <c r="W5" i="6"/>
  <c r="F42" i="3"/>
  <c r="C6" i="3" l="1"/>
  <c r="E6" i="3"/>
  <c r="E27" i="3" s="1"/>
  <c r="G6" i="3"/>
  <c r="G27" i="3" s="1"/>
  <c r="I6" i="3"/>
  <c r="I27" i="3" s="1"/>
  <c r="K6" i="3"/>
  <c r="K27" i="3" s="1"/>
  <c r="C12" i="3"/>
  <c r="X7" i="6"/>
  <c r="AA7" i="6"/>
  <c r="Z7" i="6"/>
  <c r="W7" i="6"/>
  <c r="S7" i="6"/>
  <c r="U7" i="6"/>
  <c r="Q7" i="6"/>
  <c r="T7" i="6"/>
  <c r="R7" i="6"/>
  <c r="Y7" i="6"/>
  <c r="V7" i="6"/>
  <c r="L6" i="3" l="1"/>
  <c r="C27" i="3"/>
  <c r="L27" i="3" s="1"/>
  <c r="C23" i="3"/>
  <c r="L23" i="3"/>
  <c r="E12" i="3"/>
  <c r="G12" i="3"/>
  <c r="I12" i="3"/>
  <c r="K12" i="3"/>
  <c r="C33" i="3"/>
  <c r="L12" i="3"/>
  <c r="F4" i="1" l="1"/>
  <c r="I33" i="3"/>
  <c r="F37" i="1" s="1"/>
  <c r="C4" i="1"/>
  <c r="C37" i="1"/>
  <c r="C40" i="1" s="1"/>
  <c r="E4" i="1"/>
  <c r="G33" i="3"/>
  <c r="E37" i="1" s="1"/>
  <c r="G4" i="1"/>
  <c r="G26" i="1" s="1"/>
  <c r="K33" i="3"/>
  <c r="G37" i="1" s="1"/>
  <c r="D4" i="1"/>
  <c r="E33" i="3"/>
  <c r="D37" i="1" s="1"/>
  <c r="C27" i="1" l="1"/>
  <c r="C28" i="1" s="1"/>
  <c r="G33" i="1"/>
  <c r="H37" i="1"/>
  <c r="D26" i="1"/>
  <c r="D2" i="6"/>
  <c r="L2" i="6" s="1"/>
  <c r="L25" i="6" s="1"/>
  <c r="L24" i="6" s="1"/>
  <c r="E26" i="1"/>
  <c r="C26" i="1"/>
  <c r="C29" i="1" s="1"/>
  <c r="B12" i="6"/>
  <c r="J12" i="6" s="1"/>
  <c r="E2" i="6"/>
  <c r="M2" i="6" s="1"/>
  <c r="M25" i="6" s="1"/>
  <c r="M24" i="6" s="1"/>
  <c r="F26" i="1"/>
  <c r="J4" i="1"/>
  <c r="D18" i="6"/>
  <c r="L18" i="6" s="1"/>
  <c r="F18" i="6"/>
  <c r="N18" i="6" s="1"/>
  <c r="E18" i="6"/>
  <c r="M18" i="6" s="1"/>
  <c r="F27" i="1"/>
  <c r="H4" i="1"/>
  <c r="H26" i="1" s="1"/>
  <c r="C18" i="6"/>
  <c r="K18" i="6" s="1"/>
  <c r="E27" i="1"/>
  <c r="B2" i="6"/>
  <c r="J2" i="6" s="1"/>
  <c r="J25" i="6" s="1"/>
  <c r="Q25" i="6" s="1"/>
  <c r="G27" i="1"/>
  <c r="F2" i="6"/>
  <c r="N2" i="6" s="1"/>
  <c r="N25" i="6" s="1"/>
  <c r="N24" i="6" s="1"/>
  <c r="F11" i="6"/>
  <c r="N11" i="6" s="1"/>
  <c r="L33" i="3"/>
  <c r="J37" i="1" s="1"/>
  <c r="C2" i="6"/>
  <c r="K2" i="6" s="1"/>
  <c r="K25" i="6" s="1"/>
  <c r="K24" i="6" s="1"/>
  <c r="D27" i="1"/>
  <c r="B18" i="6"/>
  <c r="J18" i="6" s="1"/>
  <c r="E33" i="1" l="1"/>
  <c r="F33" i="1"/>
  <c r="D33" i="1"/>
  <c r="F12" i="6"/>
  <c r="N12" i="6" s="1"/>
  <c r="D12" i="6"/>
  <c r="L12" i="6" s="1"/>
  <c r="E12" i="6"/>
  <c r="M12" i="6" s="1"/>
  <c r="C11" i="6"/>
  <c r="K11" i="6" s="1"/>
  <c r="C33" i="1"/>
  <c r="E11" i="6"/>
  <c r="M11" i="6" s="1"/>
  <c r="D11" i="6"/>
  <c r="L11" i="6" s="1"/>
  <c r="B11" i="6"/>
  <c r="J11" i="6" s="1"/>
  <c r="U11" i="6" s="1"/>
  <c r="J26" i="1"/>
  <c r="Z2" i="6"/>
  <c r="X2" i="6"/>
  <c r="E28" i="1"/>
  <c r="D13" i="6" s="1"/>
  <c r="L13" i="6" s="1"/>
  <c r="F28" i="1"/>
  <c r="E13" i="6" s="1"/>
  <c r="M13" i="6" s="1"/>
  <c r="U2" i="6"/>
  <c r="Y2" i="6"/>
  <c r="AA2" i="6"/>
  <c r="T2" i="6"/>
  <c r="S2" i="6"/>
  <c r="R2" i="6"/>
  <c r="W2" i="6"/>
  <c r="V2" i="6"/>
  <c r="Q2" i="6"/>
  <c r="J24" i="6"/>
  <c r="S24" i="6" s="1"/>
  <c r="G28" i="1"/>
  <c r="H27" i="1"/>
  <c r="C12" i="6"/>
  <c r="K12" i="6" s="1"/>
  <c r="D28" i="1"/>
  <c r="G2" i="6"/>
  <c r="O2" i="6" s="1"/>
  <c r="U18" i="6"/>
  <c r="Y18" i="6"/>
  <c r="Z18" i="6"/>
  <c r="V18" i="6"/>
  <c r="R18" i="6"/>
  <c r="Q18" i="6"/>
  <c r="AA18" i="6"/>
  <c r="T18" i="6"/>
  <c r="W18" i="6"/>
  <c r="X18" i="6"/>
  <c r="S18" i="6"/>
  <c r="V25" i="6"/>
  <c r="Y25" i="6"/>
  <c r="AA25" i="6"/>
  <c r="X25" i="6"/>
  <c r="R25" i="6"/>
  <c r="U25" i="6"/>
  <c r="S25" i="6"/>
  <c r="Z25" i="6"/>
  <c r="T25" i="6"/>
  <c r="O25" i="6"/>
  <c r="W25" i="6"/>
  <c r="W12" i="6"/>
  <c r="Y12" i="6"/>
  <c r="Z12" i="6"/>
  <c r="Q12" i="6"/>
  <c r="T12" i="6"/>
  <c r="R12" i="6"/>
  <c r="AA12" i="6"/>
  <c r="V12" i="6"/>
  <c r="X12" i="6"/>
  <c r="U12" i="6"/>
  <c r="S12" i="6"/>
  <c r="F40" i="1" l="1"/>
  <c r="E21" i="6" s="1"/>
  <c r="M21" i="6" s="1"/>
  <c r="E40" i="1"/>
  <c r="D21" i="6" s="1"/>
  <c r="L21" i="6" s="1"/>
  <c r="F13" i="6"/>
  <c r="N13" i="6" s="1"/>
  <c r="G40" i="1"/>
  <c r="F21" i="6" s="1"/>
  <c r="N21" i="6" s="1"/>
  <c r="D40" i="1"/>
  <c r="C21" i="6" s="1"/>
  <c r="K21" i="6" s="1"/>
  <c r="B14" i="6"/>
  <c r="J14" i="6" s="1"/>
  <c r="V14" i="6" s="1"/>
  <c r="H33" i="1"/>
  <c r="W11" i="6"/>
  <c r="Z11" i="6"/>
  <c r="R11" i="6"/>
  <c r="Y11" i="6"/>
  <c r="S11" i="6"/>
  <c r="AA11" i="6"/>
  <c r="T11" i="6"/>
  <c r="X11" i="6"/>
  <c r="Q11" i="6"/>
  <c r="V11" i="6"/>
  <c r="F29" i="1"/>
  <c r="E29" i="1"/>
  <c r="B13" i="6"/>
  <c r="J13" i="6" s="1"/>
  <c r="W13" i="6" s="1"/>
  <c r="G29" i="1"/>
  <c r="H28" i="1"/>
  <c r="G12" i="6"/>
  <c r="O12" i="6" s="1"/>
  <c r="O24" i="6"/>
  <c r="O26" i="6" s="1"/>
  <c r="T24" i="6"/>
  <c r="V24" i="6"/>
  <c r="Q24" i="6"/>
  <c r="Y24" i="6"/>
  <c r="Z24" i="6"/>
  <c r="W24" i="6"/>
  <c r="R24" i="6"/>
  <c r="X24" i="6"/>
  <c r="AA24" i="6"/>
  <c r="U24" i="6"/>
  <c r="G11" i="6"/>
  <c r="O11" i="6" s="1"/>
  <c r="C13" i="6"/>
  <c r="D29" i="1"/>
  <c r="X14" i="6" l="1"/>
  <c r="U14" i="6"/>
  <c r="AA14" i="6"/>
  <c r="W14" i="6"/>
  <c r="R14" i="6"/>
  <c r="Z14" i="6"/>
  <c r="T14" i="6"/>
  <c r="Q14" i="6"/>
  <c r="Y14" i="6"/>
  <c r="S14" i="6"/>
  <c r="H29" i="1"/>
  <c r="D14" i="6"/>
  <c r="L14" i="6" s="1"/>
  <c r="E42" i="1"/>
  <c r="E57" i="1" s="1"/>
  <c r="F14" i="6"/>
  <c r="N14" i="6" s="1"/>
  <c r="G42" i="1"/>
  <c r="G57" i="1" s="1"/>
  <c r="C14" i="6"/>
  <c r="K14" i="6" s="1"/>
  <c r="D42" i="1"/>
  <c r="D57" i="1" s="1"/>
  <c r="E14" i="6"/>
  <c r="M14" i="6" s="1"/>
  <c r="F42" i="1"/>
  <c r="F57" i="1" s="1"/>
  <c r="Q13" i="6"/>
  <c r="Y13" i="6"/>
  <c r="U13" i="6"/>
  <c r="R13" i="6"/>
  <c r="X13" i="6"/>
  <c r="T13" i="6"/>
  <c r="AA13" i="6"/>
  <c r="Z13" i="6"/>
  <c r="S13" i="6"/>
  <c r="V13" i="6"/>
  <c r="K13" i="6"/>
  <c r="G13" i="6"/>
  <c r="O13" i="6" s="1"/>
  <c r="I19" i="1" l="1"/>
  <c r="I20" i="1"/>
  <c r="I28" i="1"/>
  <c r="I24" i="1"/>
  <c r="B21" i="6"/>
  <c r="J21" i="6" s="1"/>
  <c r="C42" i="1"/>
  <c r="C57" i="1" s="1"/>
  <c r="H40" i="1"/>
  <c r="J40" i="1" s="1"/>
  <c r="I15" i="1"/>
  <c r="I11" i="1"/>
  <c r="I4" i="1"/>
  <c r="I5" i="1"/>
  <c r="I7" i="1"/>
  <c r="I16" i="1"/>
  <c r="I8" i="1"/>
  <c r="I9" i="1"/>
  <c r="I6" i="1"/>
  <c r="I26" i="1"/>
  <c r="I29" i="1" s="1"/>
  <c r="J29" i="1"/>
  <c r="I27" i="1"/>
  <c r="I23" i="1"/>
  <c r="I12" i="1"/>
  <c r="F44" i="1"/>
  <c r="D44" i="1"/>
  <c r="E44" i="1"/>
  <c r="G44" i="1"/>
  <c r="G14" i="6"/>
  <c r="O14" i="6" s="1"/>
  <c r="C44" i="1" l="1"/>
  <c r="H42" i="1"/>
  <c r="I38" i="1"/>
  <c r="I37" i="1"/>
  <c r="U21" i="6"/>
  <c r="W21" i="6"/>
  <c r="S21" i="6"/>
  <c r="R21" i="6"/>
  <c r="Y21" i="6"/>
  <c r="Z21" i="6"/>
  <c r="Q21" i="6"/>
  <c r="AA21" i="6"/>
  <c r="T21" i="6"/>
  <c r="X21" i="6"/>
  <c r="V21" i="6"/>
  <c r="H57" i="1" l="1"/>
  <c r="J57" i="1" s="1"/>
  <c r="I52" i="1"/>
  <c r="I53" i="1"/>
  <c r="I50" i="1"/>
  <c r="I51" i="1"/>
  <c r="I54" i="1"/>
  <c r="I49" i="1"/>
  <c r="I48" i="1"/>
  <c r="I57" i="1" s="1"/>
  <c r="J42" i="1"/>
  <c r="I40" i="1"/>
  <c r="I42" i="1" s="1"/>
  <c r="I44" i="1" s="1"/>
  <c r="H44" i="1"/>
  <c r="J44" i="1" s="1"/>
  <c r="A26" i="3" l="1"/>
  <c r="A15" i="3"/>
</calcChain>
</file>

<file path=xl/sharedStrings.xml><?xml version="1.0" encoding="utf-8"?>
<sst xmlns="http://schemas.openxmlformats.org/spreadsheetml/2006/main" count="496" uniqueCount="237">
  <si>
    <t>Last, First - Short Name - MM.DD.YY (Proposed Start Date) - MM.DD.YY (Proposed End Date)</t>
  </si>
  <si>
    <t>Category</t>
  </si>
  <si>
    <t>Year 1</t>
  </si>
  <si>
    <t>Year 2</t>
  </si>
  <si>
    <t>Year 3</t>
  </si>
  <si>
    <t>Year 4</t>
  </si>
  <si>
    <t>Year 5</t>
  </si>
  <si>
    <t>Totals</t>
  </si>
  <si>
    <t>%</t>
  </si>
  <si>
    <t>Personnel</t>
  </si>
  <si>
    <t>&lt;-check</t>
  </si>
  <si>
    <t>Patient Care</t>
  </si>
  <si>
    <t>Supplies</t>
  </si>
  <si>
    <t>Travel</t>
  </si>
  <si>
    <t>Services &amp; Fees</t>
  </si>
  <si>
    <t>Equipment</t>
  </si>
  <si>
    <t>Sub Award A Direct</t>
  </si>
  <si>
    <t>link to Sub Award A Costs tab</t>
  </si>
  <si>
    <t>Sub Award A Indirect</t>
  </si>
  <si>
    <t>Sub Award A MTDC</t>
  </si>
  <si>
    <t>Sub Award B Direct</t>
  </si>
  <si>
    <t>link to Sub Award B Costs tab</t>
  </si>
  <si>
    <t>Sub Award B Indirect</t>
  </si>
  <si>
    <t>Sub Award B MTDC</t>
  </si>
  <si>
    <t>Sub Award C Direct</t>
  </si>
  <si>
    <t>Sub Award C Indirect</t>
  </si>
  <si>
    <t>Sub Award C MTDC</t>
  </si>
  <si>
    <t>Sub Awards Direct</t>
  </si>
  <si>
    <t>Sub Awards Indirect</t>
  </si>
  <si>
    <t>Sub Awards MTDC</t>
  </si>
  <si>
    <t>Subtotal Direct Costs</t>
  </si>
  <si>
    <t>MTDC</t>
  </si>
  <si>
    <t>Indirect Costs</t>
  </si>
  <si>
    <t>Total Expense Charged to Agreement</t>
  </si>
  <si>
    <t>Annual Funding Limit (if applicable)</t>
  </si>
  <si>
    <t>Direct Cost Over/(Under)</t>
  </si>
  <si>
    <t>Institutional Support Required (Cost-Share)</t>
  </si>
  <si>
    <t>Patient Care*</t>
  </si>
  <si>
    <t>Other</t>
  </si>
  <si>
    <t>Total Institutional Support</t>
  </si>
  <si>
    <t>Total Expenses</t>
  </si>
  <si>
    <t>Check</t>
  </si>
  <si>
    <t>Proposed Funding Sources</t>
  </si>
  <si>
    <t>Funding Source Priority; *note to identify the priority (1, 2, 3, etc.) of which funding sources should be used 1st, 2nd, 3rd; as a general rule, external sources should be used 1st with internal restricted sources used 2nd, and operation sources used 3rd</t>
  </si>
  <si>
    <t>External - Federal</t>
  </si>
  <si>
    <t>External - Industry</t>
  </si>
  <si>
    <t>External - Other</t>
  </si>
  <si>
    <t>Internal - Gillette Foundation Restricted</t>
  </si>
  <si>
    <t>Internal - Gillette Operations</t>
  </si>
  <si>
    <t>*Cost share for patient care may be impacted by enrollment and thus, unevenly split.</t>
  </si>
  <si>
    <t>Modified Total Direct Costs (MTDC):</t>
  </si>
  <si>
    <t>MTDC includes direct salaries and wages, applicable fringe benefits, materials and supplies, services, travel and up to the first $25,000 of each sub award, regardless of the period of performance for the subaward. MTDC excludes equipment, capital expenditures, charges for patient care, and tuition remission, rental costs, scholarships, fellowships, participant support costs, as well as the portion of each sub award in excess of $25,000. Gillette's most recent negotiated indirect rate on federal projects is 45%, industry sponsored and external other projects utilize 30%, and internally funded projects utilize 0%.</t>
  </si>
  <si>
    <t>MTDC Indirect Rate</t>
  </si>
  <si>
    <t>Sub Award A Indirect Rate</t>
  </si>
  <si>
    <t>Sub Award B Indirect Rate</t>
  </si>
  <si>
    <t>Inflation Rate</t>
  </si>
  <si>
    <t>For reference</t>
  </si>
  <si>
    <t>NIH Salary Cap:</t>
  </si>
  <si>
    <t>Percent Effort</t>
  </si>
  <si>
    <t>Base Salary</t>
  </si>
  <si>
    <t>Fringe</t>
  </si>
  <si>
    <t xml:space="preserve">Total </t>
  </si>
  <si>
    <t>Fringe Rate</t>
  </si>
  <si>
    <t>Name</t>
  </si>
  <si>
    <t>% Effort</t>
  </si>
  <si>
    <t>Subtotal</t>
  </si>
  <si>
    <t>Total</t>
  </si>
  <si>
    <t>FTE Appointment</t>
  </si>
  <si>
    <t>NIH Cap</t>
  </si>
  <si>
    <t>Sponsor required salary cap calculations</t>
  </si>
  <si>
    <t>Appointment</t>
  </si>
  <si>
    <t>Percent</t>
  </si>
  <si>
    <t>Hours/year</t>
  </si>
  <si>
    <t>Hourly Rate</t>
  </si>
  <si>
    <t>Gillette Cost Share for Personnel/Salaries (if over the salary cap)</t>
  </si>
  <si>
    <t>Annual FTE Appointment</t>
  </si>
  <si>
    <t>Annual Base</t>
  </si>
  <si>
    <t>Total Annual</t>
  </si>
  <si>
    <t>Base Only</t>
  </si>
  <si>
    <t>Fringe Only</t>
  </si>
  <si>
    <t>Dr. Example</t>
  </si>
  <si>
    <t>Justa Tech</t>
  </si>
  <si>
    <t>Sponsor Patient Care Costs</t>
  </si>
  <si>
    <t># of Pts</t>
  </si>
  <si>
    <t>Patient Care Costs</t>
  </si>
  <si>
    <t>Yearly Totals</t>
  </si>
  <si>
    <t>Schedule of Patient Testing</t>
  </si>
  <si>
    <t>Project Total</t>
  </si>
  <si>
    <t>Procedure List</t>
  </si>
  <si>
    <t>CPT</t>
  </si>
  <si>
    <t>Total Gillette Cost/Item</t>
  </si>
  <si>
    <t>Sponsor Allowed Cost/Item (NIH/MERA)</t>
  </si>
  <si>
    <t>Number of times performed</t>
  </si>
  <si>
    <t>Gillette Cost</t>
  </si>
  <si>
    <t>Allowed Cost</t>
  </si>
  <si>
    <t>Cost Share</t>
  </si>
  <si>
    <t>Sponsor Cost</t>
  </si>
  <si>
    <t>Participant Remuneration</t>
  </si>
  <si>
    <t>N/A</t>
  </si>
  <si>
    <t xml:space="preserve">Gait Lab Time ($110/hr) </t>
  </si>
  <si>
    <t>K&amp;K O/P 4 units</t>
  </si>
  <si>
    <t>EMG (2 Ext)</t>
  </si>
  <si>
    <t>Venipuncture</t>
  </si>
  <si>
    <t>Basic Metabolic Panel</t>
  </si>
  <si>
    <t>Complete Metabolic Panel</t>
  </si>
  <si>
    <t>Urinalysis</t>
  </si>
  <si>
    <t>Beta-hdroxybuterate, Serum (Ketones)</t>
  </si>
  <si>
    <t>Glucose (serum)</t>
  </si>
  <si>
    <t>Magnesium</t>
  </si>
  <si>
    <t>Phosphorus</t>
  </si>
  <si>
    <t>Prealbumin</t>
  </si>
  <si>
    <t>Uric Acid</t>
  </si>
  <si>
    <t>CBC w/Diff</t>
  </si>
  <si>
    <t>EKG 12 Lead Tracing No Report</t>
  </si>
  <si>
    <t>93005; 93041</t>
  </si>
  <si>
    <t xml:space="preserve">Calcium/Creatinine Ratio, Random Urine </t>
  </si>
  <si>
    <t>82310; 82570</t>
  </si>
  <si>
    <t>Lipid Profile</t>
  </si>
  <si>
    <t>83704; 80061</t>
  </si>
  <si>
    <t>Thromboplastin (PTT, aPTT)</t>
  </si>
  <si>
    <t>Prothrombine Time (PT) with INR</t>
  </si>
  <si>
    <t>Urine Protein</t>
  </si>
  <si>
    <t>Plasma PK</t>
  </si>
  <si>
    <t>Immunogenicity</t>
  </si>
  <si>
    <t>81220; 81329</t>
  </si>
  <si>
    <t>Plasma Biomarkers</t>
  </si>
  <si>
    <t>RNA/DNA Assessment</t>
  </si>
  <si>
    <t>CSF Safety Glucose</t>
  </si>
  <si>
    <t>CSF Safety Protein</t>
  </si>
  <si>
    <t>CSF Safety Cell Count</t>
  </si>
  <si>
    <t>Alanine Aminotransferase (ALT, GPT)</t>
  </si>
  <si>
    <t>Aspartate Aminotransferase (AST, GOT)</t>
  </si>
  <si>
    <t>Liver Panel</t>
  </si>
  <si>
    <t>BUN</t>
  </si>
  <si>
    <t>Energy</t>
  </si>
  <si>
    <t>Motion Lab ROM/Strength (High)</t>
  </si>
  <si>
    <t>Creatinine</t>
  </si>
  <si>
    <t>Mod Sedation, &lt;5, 15 initial min</t>
  </si>
  <si>
    <t>Mod sedation &gt;5, initial 15 min</t>
  </si>
  <si>
    <t>Mod sedation &lt;5, addt'l 15 min, each</t>
  </si>
  <si>
    <t>Mod sedation &gt;5, addt'l 15 min, each</t>
  </si>
  <si>
    <t>Mod sedation &gt;5, initial other provider</t>
  </si>
  <si>
    <t>Mod sedation &gt;5, addt'l 15 min, other provider, each</t>
  </si>
  <si>
    <t>NOS administration for sedation; included in procedure</t>
  </si>
  <si>
    <t>D9230</t>
  </si>
  <si>
    <t>Yearly Subtotals</t>
  </si>
  <si>
    <t>Supplies*</t>
  </si>
  <si>
    <t>Item</t>
  </si>
  <si>
    <t>Cost per</t>
  </si>
  <si>
    <t># of Items</t>
  </si>
  <si>
    <t>*Supplies must be allocable, allowable, and directly attributable to project conduct.</t>
  </si>
  <si>
    <t>Travel**</t>
  </si>
  <si>
    <t># of Travelers</t>
  </si>
  <si>
    <t>**Consider realistic costs (look at travel sites)</t>
  </si>
  <si>
    <t>Services &amp; Fees***</t>
  </si>
  <si>
    <t>***Interpreters, publication fees, statistical analysis, external consultants or vendors, etc.</t>
  </si>
  <si>
    <t>Equipment****</t>
  </si>
  <si>
    <t>****Equipment should also includes any installation and maintenance costs</t>
  </si>
  <si>
    <t>Copy/paste any subaward information into this tab (if applicable)</t>
  </si>
  <si>
    <t>Link direct amounts as appropriate back to the Cost Summary tab</t>
  </si>
  <si>
    <t>Monthly Average</t>
  </si>
  <si>
    <t>2 Months</t>
  </si>
  <si>
    <t>3 Months</t>
  </si>
  <si>
    <t>4 Months</t>
  </si>
  <si>
    <t>5 Months</t>
  </si>
  <si>
    <t>6 Months</t>
  </si>
  <si>
    <t>7 Months</t>
  </si>
  <si>
    <t>8 Months</t>
  </si>
  <si>
    <t>9 Months</t>
  </si>
  <si>
    <t>10 Months</t>
  </si>
  <si>
    <t>11 Months</t>
  </si>
  <si>
    <t>12 Months</t>
  </si>
  <si>
    <t>Salary Only</t>
  </si>
  <si>
    <t>Benefits Only</t>
  </si>
  <si>
    <t>Approver</t>
  </si>
  <si>
    <t>Notes</t>
  </si>
  <si>
    <t>Fund description</t>
  </si>
  <si>
    <t>Funding Source</t>
  </si>
  <si>
    <t>Specific Fund</t>
  </si>
  <si>
    <t>1104 - Research Fund</t>
  </si>
  <si>
    <t>Trost</t>
  </si>
  <si>
    <t>To provide funding for research at Gillette, including overhead/operations support.</t>
  </si>
  <si>
    <t>1108 - Research in CP Treatment</t>
  </si>
  <si>
    <t>Study and FTE funding support</t>
  </si>
  <si>
    <t>To support new and ongoing research for treatment of cerebral palsy within The Institute for Cerebral Palsy at Gillette.</t>
  </si>
  <si>
    <t>1111 - MERA Trust</t>
  </si>
  <si>
    <t>To further medical education and research at Gillette.</t>
  </si>
  <si>
    <t>1117 - Mark T Dahl Limb Length and Reconstruction</t>
  </si>
  <si>
    <t>Niermann</t>
  </si>
  <si>
    <t>To provide education, training and ongoing clinical excellence for the program and practice of limb lengthening and reconstruction at Gillette. This includes, but is not limited to, the exchange of scientific knowledge (lectureships and symposiums), clinical research, administrative systems, equipment, programs, services, facilities or stipends needed to enhance teaching, training and education.</t>
  </si>
  <si>
    <t>1118 - James House Hand and Upper Extremity</t>
  </si>
  <si>
    <t>To provide education, training and development of ongoing clinical excellence for the practice of hand and upper extremity care at Gillette. To provide additional resources to ensure continued excellence in program and practice. This includes, but is not limited to, use for the exchange of scientific knowledge, i.e. to host lectureships or symposiums; to foster the advancement of clinical research; or otherwise foster the development of clinical excellence including administrative systems, equipment, programs, services, facilities or stipends needed to enhance teaching, training and education.</t>
  </si>
  <si>
    <t>1119 - Eva &amp; James Martin Trust</t>
  </si>
  <si>
    <t>Karlen</t>
  </si>
  <si>
    <t>To purchase apparatus, equipment and other extra articles for the use of patients unable to buy them, and for surgical research.</t>
  </si>
  <si>
    <t>3202 - Research</t>
  </si>
  <si>
    <t>Funds available for research purposes</t>
  </si>
  <si>
    <t>3209 - Orthotics, Prosthetics, and Seating</t>
  </si>
  <si>
    <t>Fisher, Sharma</t>
  </si>
  <si>
    <t>To fund assistive technology research and/or professional development/education of Assistive Technology Department (ATD) staff members.</t>
  </si>
  <si>
    <t>3214 - Robert B &amp; Jane H Winter Spine Research</t>
  </si>
  <si>
    <t>To support spine research.</t>
  </si>
  <si>
    <t>3217 - CP Med Educ.&amp; Research</t>
  </si>
  <si>
    <t>To provide funding for cerebral palsy education and research.</t>
  </si>
  <si>
    <t>3219 - Integrative Therapies Fund</t>
  </si>
  <si>
    <t>Harris</t>
  </si>
  <si>
    <t>To promote research and development of a complementary and alternative therapy program at Gillette. Those therapies can include massage, aromatherapy, music therapy, guided imagery, meditation, mindfulness stress reduction, healing touch and other therapies that provide pain relief. May include: staff time for creating a comprehensive strategic plan, clinical staff training expenses, patient and caregiver training, the provision of such therapies to Gillette inpatients and outpatients and other related expenses.</t>
  </si>
  <si>
    <t>3222 - Gait and Motion Outcomes Fund</t>
  </si>
  <si>
    <t>Georgiadis, Trost, Rozumalski, Novacheck</t>
  </si>
  <si>
    <t>To support the research of the long­term outcomes of gait and motion analysis and subsequent treatments such as Dorsal Rhizotomys, Single-Event Multi-Level Surgeries (SEMLS) and other therapies. Also for equipment support.</t>
  </si>
  <si>
    <t>3232 - Sally Sweatt Research Fund</t>
  </si>
  <si>
    <t>To fund research specific to the use of medical marijuana for the treatment of neurological conditions including epilepsy, Dravet's Syndrome and others.</t>
  </si>
  <si>
    <t>3238 - Rett Syndrome Fund</t>
  </si>
  <si>
    <t>To support clinical needs, research, patient care, education, outreach, family support, and other activities in order to better understand Rett Syndrome and provide help.</t>
  </si>
  <si>
    <t>3242 - Virtual Reality Fund</t>
  </si>
  <si>
    <t>To support the advancement of virtual reality and related technologies to improve clinical care and patient experience at Gillette. May include equipment, research initiatives, and staff education expenses. If all or part of a gift to this fund cannot, in the future, be applied usefully to the above purpose, it may be used for any related purpose which will most nearly accomplish the wishes of the donor.</t>
  </si>
  <si>
    <t>3243 - Spine Initiatives Fund</t>
  </si>
  <si>
    <t>Trost, Niermann, Harris, Nolan</t>
  </si>
  <si>
    <t>To support the growth of Gillette’s Spine Program. Resources may be allocated based on approved program development plans. Areas of focus include clinical services expansion (including infrastructure and personnel investments), spine-related research (including research core investments), and the development of education programs (including GME and CME).</t>
  </si>
  <si>
    <t>Program Line Funds</t>
  </si>
  <si>
    <t>3249 - Virtual Reality SEMLS Casting Fund</t>
  </si>
  <si>
    <t>To help cover costs related to the Post-SEMLS Casting Research Study. This includes, but is not limited to, hiring a full-time certified child life specialist, purchasing virtual reality headsets and their associated fees and purchasing Buzzy® devices.</t>
  </si>
  <si>
    <t>R0000 Administrative Research</t>
  </si>
  <si>
    <t>3264 - Graupman Neuro for Spasticity Research Fund</t>
  </si>
  <si>
    <t>To help pay for Dr. Patrick Graupman's research into neuromodulation to regulate spasticity and involuntary muscle contractions.</t>
  </si>
  <si>
    <t>RP0001 Motion Analysis Research Program</t>
  </si>
  <si>
    <t>3267 - Child and Family Services Research Fund</t>
  </si>
  <si>
    <t>Witham</t>
  </si>
  <si>
    <t>To help support costs related to research within Child and Family Services.</t>
  </si>
  <si>
    <t>RP0002 Health Services Research Program</t>
  </si>
  <si>
    <t>3270 - CP Institute Research Fund</t>
  </si>
  <si>
    <t>To help support the growth of research with the CP Institute.  This would include, but is not limited to remodeling or construction of the space, capital purchases, as well as operating expenses</t>
  </si>
  <si>
    <t>RP0003 Neurosciences Research Program</t>
  </si>
  <si>
    <t>RP0005 Orthopaedics Research Program</t>
  </si>
  <si>
    <t>RP0006 Pain Research Program</t>
  </si>
  <si>
    <t>RP0007 Rehabilitation Research Program</t>
  </si>
  <si>
    <t>RP0008 Spine Research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</si>
</sst>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0.0%"/>
    <numFmt numFmtId="165" formatCode="&quot;$&quot;#,##0.00"/>
    <numFmt numFmtId="166" formatCode="0.0"/>
    <numFmt numFmtId="167" formatCode="_(* #,##0_);_(* \(#,##0\);_(* &quot;-&quot;??_);_(@_)"/>
    <numFmt numFmtId="168" formatCode="_([$$-409]* #,##0.00_);_([$$-409]* \(#,##0.00\);_([$$-409]* &quot;-&quot;??_);_(@_)"/>
  </numFmts>
  <fonts count="11">
    <font>
      <sz val="11"/>
      <color theme="1"/>
      <name val="Calibri"/>
      <family val="2"/>
      <scheme val="minor"/>
    </font>
    <font>
      <sz val="11"/>
      <color theme="1"/>
      <name val="Calibri"/>
      <family val="2"/>
      <scheme val="minor"/>
    </font>
    <font>
      <b/>
      <sz val="9"/>
      <color theme="1"/>
      <name val="Georgia"/>
      <family val="1"/>
    </font>
    <font>
      <sz val="9"/>
      <color theme="1"/>
      <name val="Georgia"/>
      <family val="1"/>
    </font>
    <font>
      <i/>
      <sz val="9"/>
      <color rgb="FFFF0000"/>
      <name val="Georgia"/>
      <family val="1"/>
    </font>
    <font>
      <i/>
      <sz val="9"/>
      <color rgb="FF000000"/>
      <name val="Georgia"/>
      <family val="1"/>
    </font>
    <font>
      <i/>
      <sz val="9"/>
      <color theme="1"/>
      <name val="Georgia"/>
      <family val="1"/>
    </font>
    <font>
      <b/>
      <i/>
      <sz val="9"/>
      <color theme="1"/>
      <name val="Georgia"/>
      <family val="1"/>
    </font>
    <font>
      <sz val="11"/>
      <name val="Calibri"/>
      <family val="2"/>
      <scheme val="minor"/>
    </font>
    <font>
      <b/>
      <sz val="11"/>
      <color theme="1"/>
      <name val="Calibri"/>
      <family val="2"/>
      <scheme val="minor"/>
    </font>
    <font>
      <sz val="11"/>
      <color theme="0" tint="-0.249977111117893"/>
      <name val="Calibri"/>
      <family val="2"/>
      <scheme val="minor"/>
    </font>
  </fonts>
  <fills count="11">
    <fill>
      <patternFill patternType="none"/>
    </fill>
    <fill>
      <patternFill patternType="gray125"/>
    </fill>
    <fill>
      <patternFill patternType="solid">
        <fgColor theme="6" tint="0.59999389629810485"/>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bgColor indexed="64"/>
      </patternFill>
    </fill>
    <fill>
      <patternFill patternType="solid">
        <fgColor theme="6" tint="0.39997558519241921"/>
        <bgColor indexed="64"/>
      </patternFill>
    </fill>
    <fill>
      <patternFill patternType="solid">
        <fgColor theme="5" tint="0.39997558519241921"/>
        <bgColor indexed="64"/>
      </patternFill>
    </fill>
  </fills>
  <borders count="4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rgb="FF000000"/>
      </bottom>
      <diagonal/>
    </border>
    <border>
      <left/>
      <right/>
      <top/>
      <bottom style="thin">
        <color rgb="FF000000"/>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theme="4" tint="0.39997558519241921"/>
      </top>
      <bottom style="thin">
        <color theme="4" tint="0.39997558519241921"/>
      </bottom>
      <diagonal/>
    </border>
    <border>
      <left style="thin">
        <color indexed="64"/>
      </left>
      <right style="thin">
        <color indexed="64"/>
      </right>
      <top style="thin">
        <color rgb="FF000000"/>
      </top>
      <bottom style="medium">
        <color rgb="FF000000"/>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99">
    <xf numFmtId="0" fontId="0" fillId="0" borderId="0" xfId="0"/>
    <xf numFmtId="0" fontId="3" fillId="0" borderId="0" xfId="0" applyFont="1"/>
    <xf numFmtId="0" fontId="2" fillId="0" borderId="15" xfId="0" applyFont="1" applyBorder="1"/>
    <xf numFmtId="0" fontId="2" fillId="0" borderId="15" xfId="0" applyFont="1" applyBorder="1" applyAlignment="1">
      <alignment horizontal="center"/>
    </xf>
    <xf numFmtId="44" fontId="3" fillId="0" borderId="0" xfId="1" applyFont="1"/>
    <xf numFmtId="44" fontId="4" fillId="0" borderId="0" xfId="0" applyNumberFormat="1" applyFont="1"/>
    <xf numFmtId="0" fontId="4" fillId="0" borderId="0" xfId="0" applyFont="1"/>
    <xf numFmtId="43" fontId="3" fillId="0" borderId="0" xfId="3" applyFont="1"/>
    <xf numFmtId="0" fontId="3" fillId="0" borderId="1" xfId="0" applyFont="1" applyBorder="1"/>
    <xf numFmtId="43" fontId="3" fillId="0" borderId="1" xfId="3" applyFont="1" applyBorder="1"/>
    <xf numFmtId="0" fontId="3" fillId="0" borderId="31" xfId="0" applyFont="1" applyBorder="1"/>
    <xf numFmtId="43" fontId="3" fillId="0" borderId="31" xfId="3" applyFont="1" applyBorder="1"/>
    <xf numFmtId="43" fontId="3" fillId="0" borderId="0" xfId="3" applyFont="1" applyBorder="1"/>
    <xf numFmtId="0" fontId="2" fillId="0" borderId="0" xfId="0" applyFont="1"/>
    <xf numFmtId="44" fontId="3" fillId="0" borderId="0" xfId="0" applyNumberFormat="1" applyFont="1"/>
    <xf numFmtId="0" fontId="2" fillId="0" borderId="1" xfId="0" applyFont="1" applyBorder="1"/>
    <xf numFmtId="0" fontId="2" fillId="0" borderId="5" xfId="0" applyFont="1" applyBorder="1"/>
    <xf numFmtId="43" fontId="3" fillId="0" borderId="5" xfId="3" applyFont="1" applyBorder="1"/>
    <xf numFmtId="0" fontId="2" fillId="0" borderId="30" xfId="0" applyFont="1" applyBorder="1"/>
    <xf numFmtId="44" fontId="2" fillId="0" borderId="30" xfId="1" applyFont="1" applyBorder="1"/>
    <xf numFmtId="44" fontId="2" fillId="0" borderId="0" xfId="1" applyFont="1" applyBorder="1"/>
    <xf numFmtId="0" fontId="2" fillId="0" borderId="1" xfId="0" applyFont="1" applyBorder="1" applyAlignment="1">
      <alignment horizontal="center"/>
    </xf>
    <xf numFmtId="44" fontId="3" fillId="0" borderId="5" xfId="1" applyFont="1" applyBorder="1"/>
    <xf numFmtId="44" fontId="3" fillId="0" borderId="0" xfId="1" applyFont="1" applyBorder="1"/>
    <xf numFmtId="0" fontId="2" fillId="5" borderId="10" xfId="0" applyFont="1" applyFill="1" applyBorder="1" applyAlignment="1">
      <alignment wrapText="1"/>
    </xf>
    <xf numFmtId="10" fontId="3" fillId="5" borderId="11" xfId="0" applyNumberFormat="1" applyFont="1" applyFill="1" applyBorder="1"/>
    <xf numFmtId="0" fontId="3" fillId="0" borderId="28" xfId="0" applyFont="1" applyBorder="1"/>
    <xf numFmtId="0" fontId="3" fillId="0" borderId="14" xfId="0" applyFont="1" applyBorder="1"/>
    <xf numFmtId="44" fontId="3" fillId="0" borderId="5" xfId="0" applyNumberFormat="1" applyFont="1" applyBorder="1"/>
    <xf numFmtId="0" fontId="5" fillId="0" borderId="0" xfId="0" applyFont="1"/>
    <xf numFmtId="0" fontId="2" fillId="0" borderId="0" xfId="0" applyFont="1" applyAlignment="1">
      <alignment horizontal="center"/>
    </xf>
    <xf numFmtId="0" fontId="3" fillId="0" borderId="2" xfId="0" applyFont="1" applyBorder="1"/>
    <xf numFmtId="168" fontId="3" fillId="0" borderId="2" xfId="0" applyNumberFormat="1" applyFont="1" applyBorder="1"/>
    <xf numFmtId="43" fontId="3" fillId="0" borderId="2" xfId="0" applyNumberFormat="1" applyFont="1" applyBorder="1"/>
    <xf numFmtId="44" fontId="3" fillId="0" borderId="2" xfId="1" applyFont="1" applyBorder="1"/>
    <xf numFmtId="43" fontId="3" fillId="0" borderId="2" xfId="3" applyFont="1" applyBorder="1"/>
    <xf numFmtId="43" fontId="3" fillId="0" borderId="8" xfId="3" applyFont="1" applyBorder="1"/>
    <xf numFmtId="43" fontId="3" fillId="0" borderId="8" xfId="0" applyNumberFormat="1" applyFont="1" applyBorder="1"/>
    <xf numFmtId="43" fontId="3" fillId="0" borderId="6" xfId="0" applyNumberFormat="1" applyFont="1" applyBorder="1"/>
    <xf numFmtId="0" fontId="3" fillId="0" borderId="3" xfId="0" applyFont="1" applyBorder="1"/>
    <xf numFmtId="43" fontId="3" fillId="0" borderId="3" xfId="0" applyNumberFormat="1" applyFont="1" applyBorder="1"/>
    <xf numFmtId="43" fontId="3" fillId="0" borderId="23" xfId="1" applyNumberFormat="1" applyFont="1" applyBorder="1"/>
    <xf numFmtId="43" fontId="3" fillId="0" borderId="32" xfId="3" applyFont="1" applyBorder="1"/>
    <xf numFmtId="43" fontId="3" fillId="0" borderId="32" xfId="0" applyNumberFormat="1" applyFont="1" applyBorder="1"/>
    <xf numFmtId="0" fontId="3" fillId="0" borderId="12" xfId="0" applyFont="1" applyBorder="1" applyAlignment="1">
      <alignment horizontal="center"/>
    </xf>
    <xf numFmtId="44" fontId="3" fillId="0" borderId="4" xfId="1" applyFont="1" applyBorder="1"/>
    <xf numFmtId="0" fontId="6" fillId="0" borderId="0" xfId="0" applyFont="1"/>
    <xf numFmtId="43" fontId="3" fillId="0" borderId="3" xfId="3" applyFont="1" applyBorder="1"/>
    <xf numFmtId="43" fontId="3" fillId="0" borderId="23" xfId="3" applyFont="1" applyBorder="1"/>
    <xf numFmtId="0" fontId="6" fillId="0" borderId="0" xfId="0" applyFont="1" applyAlignment="1">
      <alignment horizontal="center"/>
    </xf>
    <xf numFmtId="168" fontId="3" fillId="0" borderId="8" xfId="0" applyNumberFormat="1" applyFont="1" applyBorder="1"/>
    <xf numFmtId="44" fontId="3" fillId="0" borderId="8" xfId="1" applyFont="1" applyBorder="1"/>
    <xf numFmtId="0" fontId="3" fillId="0" borderId="23" xfId="0" applyFont="1" applyBorder="1"/>
    <xf numFmtId="167" fontId="3" fillId="0" borderId="2" xfId="1" applyNumberFormat="1" applyFont="1" applyBorder="1"/>
    <xf numFmtId="44" fontId="3" fillId="0" borderId="2" xfId="0" applyNumberFormat="1" applyFont="1" applyBorder="1"/>
    <xf numFmtId="44" fontId="3" fillId="0" borderId="3" xfId="1" applyFont="1" applyBorder="1"/>
    <xf numFmtId="0" fontId="2" fillId="0" borderId="4" xfId="0" applyFont="1" applyBorder="1" applyAlignment="1">
      <alignment horizontal="center"/>
    </xf>
    <xf numFmtId="0" fontId="2" fillId="0" borderId="19" xfId="0" applyFont="1" applyBorder="1" applyAlignment="1">
      <alignment horizontal="center"/>
    </xf>
    <xf numFmtId="0" fontId="2" fillId="0" borderId="2" xfId="0" applyFont="1" applyBorder="1" applyAlignment="1">
      <alignment wrapText="1"/>
    </xf>
    <xf numFmtId="0" fontId="2" fillId="0" borderId="2" xfId="0" applyFont="1" applyBorder="1" applyAlignment="1">
      <alignment horizontal="center" wrapText="1"/>
    </xf>
    <xf numFmtId="0" fontId="2" fillId="0" borderId="6" xfId="0" applyFont="1" applyBorder="1" applyAlignment="1">
      <alignment horizontal="center" wrapText="1"/>
    </xf>
    <xf numFmtId="0" fontId="2" fillId="0" borderId="24" xfId="0" applyFont="1" applyBorder="1" applyAlignment="1">
      <alignment horizontal="center" wrapText="1"/>
    </xf>
    <xf numFmtId="0" fontId="2" fillId="0" borderId="4" xfId="0" applyFont="1" applyBorder="1" applyAlignment="1">
      <alignment horizontal="center" wrapText="1"/>
    </xf>
    <xf numFmtId="0" fontId="2" fillId="0" borderId="18" xfId="0" applyFont="1" applyBorder="1" applyAlignment="1">
      <alignment horizontal="center" wrapText="1"/>
    </xf>
    <xf numFmtId="0" fontId="3" fillId="0" borderId="2" xfId="0" applyFont="1" applyBorder="1" applyAlignment="1">
      <alignment wrapText="1"/>
    </xf>
    <xf numFmtId="44" fontId="3" fillId="0" borderId="6" xfId="1" applyFont="1" applyBorder="1"/>
    <xf numFmtId="0" fontId="3" fillId="0" borderId="25" xfId="0" applyFont="1" applyBorder="1"/>
    <xf numFmtId="44" fontId="3" fillId="0" borderId="16" xfId="1" applyFont="1" applyBorder="1"/>
    <xf numFmtId="168" fontId="3" fillId="0" borderId="2" xfId="1" applyNumberFormat="1" applyFont="1" applyBorder="1"/>
    <xf numFmtId="0" fontId="3" fillId="0" borderId="8" xfId="0" applyFont="1" applyBorder="1"/>
    <xf numFmtId="0" fontId="3" fillId="0" borderId="6" xfId="0" applyFont="1" applyBorder="1"/>
    <xf numFmtId="0" fontId="3" fillId="0" borderId="38" xfId="0" applyFont="1" applyBorder="1"/>
    <xf numFmtId="168" fontId="3" fillId="0" borderId="7" xfId="1" applyNumberFormat="1" applyFont="1" applyBorder="1"/>
    <xf numFmtId="0" fontId="3" fillId="0" borderId="4" xfId="0" applyFont="1" applyBorder="1"/>
    <xf numFmtId="0" fontId="3" fillId="0" borderId="26" xfId="0" applyFont="1" applyBorder="1"/>
    <xf numFmtId="44" fontId="3" fillId="0" borderId="17" xfId="1" applyFont="1" applyBorder="1"/>
    <xf numFmtId="43" fontId="3" fillId="0" borderId="20" xfId="3" applyFont="1" applyBorder="1"/>
    <xf numFmtId="44" fontId="3" fillId="0" borderId="21" xfId="0" applyNumberFormat="1" applyFont="1" applyBorder="1"/>
    <xf numFmtId="44" fontId="3" fillId="0" borderId="22" xfId="0" applyNumberFormat="1" applyFont="1" applyBorder="1"/>
    <xf numFmtId="0" fontId="7" fillId="0" borderId="0" xfId="0" applyFont="1"/>
    <xf numFmtId="0" fontId="2" fillId="5" borderId="34" xfId="0" applyFont="1" applyFill="1" applyBorder="1" applyAlignment="1">
      <alignment wrapText="1"/>
    </xf>
    <xf numFmtId="0" fontId="2" fillId="5" borderId="35" xfId="0" applyFont="1" applyFill="1" applyBorder="1" applyAlignment="1">
      <alignment wrapText="1"/>
    </xf>
    <xf numFmtId="6" fontId="2" fillId="5" borderId="10" xfId="0" applyNumberFormat="1" applyFont="1" applyFill="1" applyBorder="1" applyAlignment="1">
      <alignment vertical="center"/>
    </xf>
    <xf numFmtId="10" fontId="3" fillId="5" borderId="7" xfId="2" applyNumberFormat="1" applyFont="1" applyFill="1" applyBorder="1"/>
    <xf numFmtId="165" fontId="3" fillId="5" borderId="2" xfId="0" applyNumberFormat="1" applyFont="1" applyFill="1" applyBorder="1"/>
    <xf numFmtId="6" fontId="2" fillId="5" borderId="36" xfId="0" applyNumberFormat="1" applyFont="1" applyFill="1" applyBorder="1" applyAlignment="1">
      <alignment vertical="center"/>
    </xf>
    <xf numFmtId="164" fontId="3" fillId="0" borderId="2" xfId="2" applyNumberFormat="1" applyFont="1" applyBorder="1"/>
    <xf numFmtId="164" fontId="3" fillId="0" borderId="2" xfId="0" applyNumberFormat="1" applyFont="1" applyBorder="1"/>
    <xf numFmtId="0" fontId="3" fillId="0" borderId="9" xfId="0" applyFont="1" applyBorder="1"/>
    <xf numFmtId="164" fontId="3" fillId="0" borderId="9" xfId="2" applyNumberFormat="1" applyFont="1" applyBorder="1"/>
    <xf numFmtId="6" fontId="2" fillId="5" borderId="37" xfId="0" applyNumberFormat="1" applyFont="1" applyFill="1" applyBorder="1" applyAlignment="1">
      <alignment vertical="center"/>
    </xf>
    <xf numFmtId="0" fontId="2" fillId="5" borderId="10" xfId="0" applyFont="1" applyFill="1" applyBorder="1"/>
    <xf numFmtId="0" fontId="2" fillId="5" borderId="11" xfId="0" applyFont="1" applyFill="1" applyBorder="1"/>
    <xf numFmtId="0" fontId="3" fillId="6" borderId="2" xfId="0" applyFont="1" applyFill="1" applyBorder="1"/>
    <xf numFmtId="164" fontId="3" fillId="6" borderId="2" xfId="1" applyNumberFormat="1" applyFont="1" applyFill="1" applyBorder="1"/>
    <xf numFmtId="44" fontId="3" fillId="6" borderId="2" xfId="1" applyFont="1" applyFill="1" applyBorder="1"/>
    <xf numFmtId="2" fontId="3" fillId="5" borderId="4" xfId="0" applyNumberFormat="1" applyFont="1" applyFill="1" applyBorder="1"/>
    <xf numFmtId="9" fontId="3" fillId="5" borderId="4" xfId="0" applyNumberFormat="1" applyFont="1" applyFill="1" applyBorder="1"/>
    <xf numFmtId="167" fontId="3" fillId="5" borderId="4" xfId="0" applyNumberFormat="1" applyFont="1" applyFill="1" applyBorder="1"/>
    <xf numFmtId="43" fontId="3" fillId="5" borderId="4" xfId="0" applyNumberFormat="1" applyFont="1" applyFill="1" applyBorder="1"/>
    <xf numFmtId="2" fontId="3" fillId="5" borderId="2" xfId="0" applyNumberFormat="1" applyFont="1" applyFill="1" applyBorder="1"/>
    <xf numFmtId="167" fontId="3" fillId="5" borderId="2" xfId="0" applyNumberFormat="1" applyFont="1" applyFill="1" applyBorder="1"/>
    <xf numFmtId="43" fontId="3" fillId="5" borderId="2" xfId="0" applyNumberFormat="1" applyFont="1" applyFill="1" applyBorder="1"/>
    <xf numFmtId="0" fontId="3" fillId="3" borderId="2" xfId="0" applyFont="1" applyFill="1" applyBorder="1"/>
    <xf numFmtId="0" fontId="3" fillId="4" borderId="2" xfId="0" applyFont="1" applyFill="1" applyBorder="1"/>
    <xf numFmtId="44" fontId="3" fillId="3" borderId="2" xfId="1" applyFont="1" applyFill="1" applyBorder="1"/>
    <xf numFmtId="44" fontId="3" fillId="4" borderId="2" xfId="1" applyFont="1" applyFill="1" applyBorder="1"/>
    <xf numFmtId="0" fontId="3" fillId="4" borderId="8" xfId="0" applyFont="1" applyFill="1" applyBorder="1"/>
    <xf numFmtId="43" fontId="3" fillId="4" borderId="8" xfId="3" applyFont="1" applyFill="1" applyBorder="1"/>
    <xf numFmtId="0" fontId="2" fillId="0" borderId="0" xfId="0" applyFont="1" applyAlignment="1">
      <alignment wrapText="1"/>
    </xf>
    <xf numFmtId="0" fontId="3" fillId="0" borderId="0" xfId="0" applyFont="1" applyAlignment="1">
      <alignment wrapText="1"/>
    </xf>
    <xf numFmtId="166" fontId="3" fillId="7" borderId="0" xfId="0" applyNumberFormat="1" applyFont="1" applyFill="1"/>
    <xf numFmtId="44" fontId="3" fillId="7" borderId="0" xfId="1" applyFont="1" applyFill="1" applyAlignment="1">
      <alignment horizontal="center"/>
    </xf>
    <xf numFmtId="44" fontId="3" fillId="7" borderId="0" xfId="0" applyNumberFormat="1" applyFont="1" applyFill="1"/>
    <xf numFmtId="44" fontId="3" fillId="0" borderId="33" xfId="1" applyFont="1" applyBorder="1"/>
    <xf numFmtId="44" fontId="3" fillId="0" borderId="1" xfId="0" applyNumberFormat="1" applyFont="1" applyBorder="1"/>
    <xf numFmtId="43" fontId="3" fillId="0" borderId="25" xfId="3" applyFont="1" applyBorder="1"/>
    <xf numFmtId="0" fontId="4" fillId="0" borderId="0" xfId="0" applyFont="1" applyAlignment="1">
      <alignment wrapText="1"/>
    </xf>
    <xf numFmtId="44" fontId="4" fillId="0" borderId="0" xfId="0" applyNumberFormat="1" applyFont="1" applyAlignment="1">
      <alignment wrapText="1"/>
    </xf>
    <xf numFmtId="0" fontId="2" fillId="0" borderId="13" xfId="0" applyFont="1" applyBorder="1"/>
    <xf numFmtId="44" fontId="2" fillId="0" borderId="14" xfId="1" applyFont="1" applyBorder="1"/>
    <xf numFmtId="0" fontId="2" fillId="0" borderId="0" xfId="0" applyFont="1" applyAlignment="1">
      <alignment horizontal="left" wrapText="1"/>
    </xf>
    <xf numFmtId="0" fontId="3" fillId="2" borderId="0" xfId="0" applyFont="1" applyFill="1" applyAlignment="1">
      <alignment horizontal="left" wrapText="1"/>
    </xf>
    <xf numFmtId="0" fontId="2" fillId="2" borderId="0" xfId="0" applyFont="1" applyFill="1" applyAlignment="1">
      <alignment horizontal="left"/>
    </xf>
    <xf numFmtId="10" fontId="3" fillId="0" borderId="0" xfId="2" applyNumberFormat="1" applyFont="1"/>
    <xf numFmtId="10" fontId="3" fillId="0" borderId="1" xfId="2" applyNumberFormat="1" applyFont="1" applyBorder="1"/>
    <xf numFmtId="10" fontId="4" fillId="0" borderId="0" xfId="0" applyNumberFormat="1" applyFont="1" applyAlignment="1">
      <alignment wrapText="1"/>
    </xf>
    <xf numFmtId="0" fontId="3" fillId="0" borderId="0" xfId="0" applyFont="1" applyAlignment="1">
      <alignment horizontal="left" indent="1"/>
    </xf>
    <xf numFmtId="10" fontId="2" fillId="0" borderId="11" xfId="2" applyNumberFormat="1" applyFont="1" applyBorder="1"/>
    <xf numFmtId="0" fontId="3" fillId="7" borderId="0" xfId="0" applyFont="1" applyFill="1"/>
    <xf numFmtId="44" fontId="3" fillId="0" borderId="39" xfId="1" applyFont="1" applyBorder="1"/>
    <xf numFmtId="0" fontId="3" fillId="0" borderId="40" xfId="0" applyFont="1" applyBorder="1"/>
    <xf numFmtId="44" fontId="3" fillId="0" borderId="41" xfId="1" applyFont="1" applyBorder="1"/>
    <xf numFmtId="43" fontId="3" fillId="0" borderId="42" xfId="3" applyFont="1" applyBorder="1"/>
    <xf numFmtId="44" fontId="3" fillId="0" borderId="38" xfId="1" applyFont="1" applyBorder="1"/>
    <xf numFmtId="168" fontId="3" fillId="0" borderId="39" xfId="0" applyNumberFormat="1" applyFont="1" applyBorder="1"/>
    <xf numFmtId="0" fontId="3" fillId="0" borderId="42" xfId="0" applyFont="1" applyBorder="1"/>
    <xf numFmtId="44" fontId="3" fillId="0" borderId="43" xfId="1" applyFont="1" applyBorder="1"/>
    <xf numFmtId="0" fontId="8" fillId="8" borderId="0" xfId="0" applyFont="1" applyFill="1"/>
    <xf numFmtId="0" fontId="8" fillId="0" borderId="0" xfId="0" applyFont="1"/>
    <xf numFmtId="0" fontId="9" fillId="0" borderId="0" xfId="0" applyFont="1"/>
    <xf numFmtId="0" fontId="9" fillId="0" borderId="0" xfId="0" applyFont="1" applyAlignment="1">
      <alignment wrapText="1"/>
    </xf>
    <xf numFmtId="0" fontId="0" fillId="0" borderId="0" xfId="0" applyAlignment="1">
      <alignment wrapText="1"/>
    </xf>
    <xf numFmtId="0" fontId="9" fillId="0" borderId="0" xfId="0" applyFont="1" applyAlignment="1">
      <alignment horizontal="left" wrapText="1"/>
    </xf>
    <xf numFmtId="0" fontId="0" fillId="0" borderId="0" xfId="0" applyAlignment="1">
      <alignment horizontal="left" wrapText="1"/>
    </xf>
    <xf numFmtId="0" fontId="0" fillId="0" borderId="44" xfId="0" applyBorder="1" applyAlignment="1">
      <alignment horizontal="left" wrapText="1"/>
    </xf>
    <xf numFmtId="0" fontId="0" fillId="0" borderId="44" xfId="0" applyBorder="1" applyAlignment="1">
      <alignment wrapText="1"/>
    </xf>
    <xf numFmtId="0" fontId="10" fillId="0" borderId="0" xfId="0" applyFont="1"/>
    <xf numFmtId="0" fontId="3" fillId="0" borderId="45" xfId="0" applyFont="1" applyBorder="1"/>
    <xf numFmtId="164" fontId="3" fillId="0" borderId="45" xfId="2" applyNumberFormat="1" applyFont="1" applyBorder="1"/>
    <xf numFmtId="44" fontId="3" fillId="0" borderId="45" xfId="1" applyFont="1" applyBorder="1"/>
    <xf numFmtId="164" fontId="3" fillId="0" borderId="45" xfId="0" applyNumberFormat="1" applyFont="1" applyBorder="1"/>
    <xf numFmtId="164" fontId="3" fillId="0" borderId="8" xfId="0" applyNumberFormat="1" applyFont="1" applyBorder="1"/>
    <xf numFmtId="0" fontId="3" fillId="6" borderId="45" xfId="0" applyFont="1" applyFill="1" applyBorder="1"/>
    <xf numFmtId="164" fontId="3" fillId="6" borderId="45" xfId="1" applyNumberFormat="1" applyFont="1" applyFill="1" applyBorder="1"/>
    <xf numFmtId="44" fontId="3" fillId="6" borderId="45" xfId="1" applyFont="1" applyFill="1" applyBorder="1"/>
    <xf numFmtId="0" fontId="3" fillId="6" borderId="8" xfId="0" applyFont="1" applyFill="1" applyBorder="1"/>
    <xf numFmtId="164" fontId="3" fillId="6" borderId="8" xfId="1" applyNumberFormat="1" applyFont="1" applyFill="1" applyBorder="1"/>
    <xf numFmtId="44" fontId="3" fillId="6" borderId="8" xfId="1" applyFont="1" applyFill="1" applyBorder="1"/>
    <xf numFmtId="0" fontId="3" fillId="3" borderId="45" xfId="0" applyFont="1" applyFill="1" applyBorder="1"/>
    <xf numFmtId="0" fontId="3" fillId="4" borderId="45" xfId="0" applyFont="1" applyFill="1" applyBorder="1"/>
    <xf numFmtId="44" fontId="3" fillId="3" borderId="45" xfId="1" applyFont="1" applyFill="1" applyBorder="1"/>
    <xf numFmtId="43" fontId="3" fillId="4" borderId="45" xfId="3" applyFont="1" applyFill="1" applyBorder="1"/>
    <xf numFmtId="0" fontId="3" fillId="3" borderId="8" xfId="0" applyFont="1" applyFill="1" applyBorder="1"/>
    <xf numFmtId="44" fontId="3" fillId="3" borderId="8" xfId="1" applyFont="1" applyFill="1" applyBorder="1"/>
    <xf numFmtId="0" fontId="3" fillId="9" borderId="4" xfId="0" applyFont="1" applyFill="1" applyBorder="1"/>
    <xf numFmtId="44" fontId="3" fillId="9" borderId="4" xfId="1" applyFont="1" applyFill="1" applyBorder="1"/>
    <xf numFmtId="0" fontId="3" fillId="10" borderId="4" xfId="0" applyFont="1" applyFill="1" applyBorder="1"/>
    <xf numFmtId="44" fontId="3" fillId="10" borderId="4" xfId="1" applyFont="1" applyFill="1" applyBorder="1"/>
    <xf numFmtId="0" fontId="3" fillId="0" borderId="0" xfId="0" applyFont="1" applyAlignment="1">
      <alignment horizontal="center" wrapText="1"/>
    </xf>
    <xf numFmtId="0" fontId="3" fillId="2" borderId="0" xfId="0" applyFont="1" applyFill="1" applyAlignment="1">
      <alignment horizontal="left" wrapText="1"/>
    </xf>
    <xf numFmtId="0" fontId="2" fillId="2" borderId="0" xfId="0" applyFont="1" applyFill="1" applyAlignment="1">
      <alignment horizontal="left"/>
    </xf>
    <xf numFmtId="0" fontId="2" fillId="0" borderId="13" xfId="0" applyFont="1" applyBorder="1" applyAlignment="1">
      <alignment horizontal="center"/>
    </xf>
    <xf numFmtId="0" fontId="2" fillId="0" borderId="14" xfId="0" applyFont="1" applyBorder="1" applyAlignment="1">
      <alignment horizontal="center"/>
    </xf>
    <xf numFmtId="0" fontId="2" fillId="0" borderId="11" xfId="0" applyFont="1" applyBorder="1" applyAlignment="1">
      <alignment horizontal="center"/>
    </xf>
    <xf numFmtId="0" fontId="2" fillId="5" borderId="13" xfId="0" applyFont="1" applyFill="1" applyBorder="1" applyAlignment="1">
      <alignment horizontal="center"/>
    </xf>
    <xf numFmtId="0" fontId="2" fillId="5" borderId="14" xfId="0" applyFont="1" applyFill="1" applyBorder="1" applyAlignment="1">
      <alignment horizontal="center"/>
    </xf>
    <xf numFmtId="0" fontId="2" fillId="5" borderId="11" xfId="0" applyFont="1" applyFill="1" applyBorder="1" applyAlignment="1">
      <alignment horizontal="center"/>
    </xf>
    <xf numFmtId="0" fontId="2" fillId="6" borderId="13" xfId="0" applyFont="1" applyFill="1" applyBorder="1" applyAlignment="1">
      <alignment horizontal="left"/>
    </xf>
    <xf numFmtId="0" fontId="2" fillId="6" borderId="14" xfId="0" applyFont="1" applyFill="1" applyBorder="1" applyAlignment="1">
      <alignment horizontal="left"/>
    </xf>
    <xf numFmtId="0" fontId="2" fillId="6" borderId="11" xfId="0" applyFont="1" applyFill="1" applyBorder="1" applyAlignment="1">
      <alignment horizontal="left"/>
    </xf>
    <xf numFmtId="0" fontId="2" fillId="3" borderId="13" xfId="0" applyFont="1" applyFill="1" applyBorder="1" applyAlignment="1">
      <alignment horizontal="left"/>
    </xf>
    <xf numFmtId="0" fontId="2" fillId="3" borderId="14" xfId="0" applyFont="1" applyFill="1" applyBorder="1" applyAlignment="1">
      <alignment horizontal="left"/>
    </xf>
    <xf numFmtId="0" fontId="2" fillId="3" borderId="11" xfId="0" applyFont="1" applyFill="1" applyBorder="1" applyAlignment="1">
      <alignment horizontal="left"/>
    </xf>
    <xf numFmtId="0" fontId="2" fillId="0" borderId="0" xfId="0" applyFont="1" applyAlignment="1">
      <alignment horizontal="center"/>
    </xf>
    <xf numFmtId="0" fontId="2" fillId="5" borderId="35" xfId="0" applyFont="1" applyFill="1" applyBorder="1" applyAlignment="1">
      <alignment horizontal="center" vertical="center" wrapText="1"/>
    </xf>
    <xf numFmtId="0" fontId="2" fillId="5" borderId="36" xfId="0" applyFont="1" applyFill="1" applyBorder="1" applyAlignment="1">
      <alignment horizontal="center" vertical="center" wrapText="1"/>
    </xf>
    <xf numFmtId="0" fontId="2" fillId="5" borderId="37" xfId="0" applyFont="1" applyFill="1" applyBorder="1" applyAlignment="1">
      <alignment horizontal="center" vertical="center" wrapText="1"/>
    </xf>
    <xf numFmtId="0" fontId="2" fillId="0" borderId="27" xfId="0"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3" fillId="0" borderId="19"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right"/>
    </xf>
    <xf numFmtId="0" fontId="3" fillId="0" borderId="14" xfId="0" applyFont="1" applyBorder="1" applyAlignment="1">
      <alignment horizontal="right"/>
    </xf>
    <xf numFmtId="0" fontId="3" fillId="0" borderId="11" xfId="0" applyFont="1" applyBorder="1" applyAlignment="1">
      <alignment horizontal="right"/>
    </xf>
    <xf numFmtId="0" fontId="3" fillId="5" borderId="0" xfId="0" applyFont="1" applyFill="1" applyAlignment="1">
      <alignment horizontal="center"/>
    </xf>
    <xf numFmtId="0" fontId="6" fillId="5" borderId="0" xfId="0" applyFont="1" applyFill="1" applyAlignment="1">
      <alignment horizontal="center"/>
    </xf>
    <xf numFmtId="0" fontId="2" fillId="0" borderId="0" xfId="0" applyFont="1" applyAlignment="1">
      <alignment horizontal="left" wrapText="1"/>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F54EA81-B383-44FA-895C-7BC5AD477CFD}" name="Table1" displayName="Table1" ref="B2:B7" totalsRowShown="0">
  <autoFilter ref="B2:B7" xr:uid="{00000000-0009-0000-0100-000001000000}"/>
  <tableColumns count="1">
    <tableColumn id="1" xr3:uid="{E752231F-CA8E-453A-94E8-63C3A8CC3183}" name="Funding Source"/>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A6CD15B-8B52-424B-854D-4663B15C6080}" name="Table145" displayName="Table145" ref="D2:D22" totalsRowShown="0">
  <autoFilter ref="D2:D22" xr:uid="{5222002B-97C5-4416-AF74-F88166D97D07}"/>
  <sortState xmlns:xlrd2="http://schemas.microsoft.com/office/spreadsheetml/2017/richdata2" ref="D3:D20">
    <sortCondition ref="D2:D20"/>
  </sortState>
  <tableColumns count="1">
    <tableColumn id="1" xr3:uid="{EC5C6E17-5DC0-455D-B0B2-D53C983F3DD0}" name="Specific Fund"/>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29988DF-1723-46A3-B487-97A46CFCAA12}" name="Table2" displayName="Table2" ref="B19:B27" totalsRowShown="0">
  <autoFilter ref="B19:B27" xr:uid="{A29988DF-1723-46A3-B487-97A46CFCAA12}"/>
  <tableColumns count="1">
    <tableColumn id="1" xr3:uid="{A55B67BA-501C-46BC-9BA0-61663B6D6F30}" name="Program Line Funds"/>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7.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70"/>
  <sheetViews>
    <sheetView topLeftCell="A29" zoomScaleNormal="100" zoomScaleSheetLayoutView="100" workbookViewId="0">
      <selection activeCell="M19" sqref="M19"/>
    </sheetView>
  </sheetViews>
  <sheetFormatPr defaultColWidth="9.140625" defaultRowHeight="11.45" outlineLevelRow="1" outlineLevelCol="1"/>
  <cols>
    <col min="1" max="1" width="9.140625" style="1"/>
    <col min="2" max="2" width="36.7109375" style="1" bestFit="1" customWidth="1"/>
    <col min="3" max="3" width="13.7109375" style="1" bestFit="1" customWidth="1"/>
    <col min="4" max="4" width="12.5703125" style="1" bestFit="1" customWidth="1"/>
    <col min="5" max="7" width="12.5703125" style="1" customWidth="1"/>
    <col min="8" max="9" width="14.28515625" style="1" bestFit="1" customWidth="1"/>
    <col min="10" max="10" width="9.140625" style="1" hidden="1" customWidth="1" outlineLevel="1"/>
    <col min="11" max="11" width="25.140625" style="1" hidden="1" customWidth="1" outlineLevel="1"/>
    <col min="12" max="12" width="19.7109375" style="1" bestFit="1" customWidth="1" collapsed="1"/>
    <col min="13" max="28" width="9.140625" style="1" customWidth="1"/>
    <col min="29" max="16384" width="9.140625" style="1"/>
  </cols>
  <sheetData>
    <row r="1" spans="2:11" ht="12" thickBot="1"/>
    <row r="2" spans="2:11" ht="15.75" customHeight="1" thickBot="1">
      <c r="B2" s="172" t="s">
        <v>0</v>
      </c>
      <c r="C2" s="173"/>
      <c r="D2" s="173"/>
      <c r="E2" s="173"/>
      <c r="F2" s="173"/>
      <c r="G2" s="173"/>
      <c r="H2" s="173"/>
      <c r="I2" s="174"/>
    </row>
    <row r="3" spans="2:11">
      <c r="B3" s="2" t="s">
        <v>1</v>
      </c>
      <c r="C3" s="3" t="s">
        <v>2</v>
      </c>
      <c r="D3" s="3" t="s">
        <v>3</v>
      </c>
      <c r="E3" s="3" t="s">
        <v>4</v>
      </c>
      <c r="F3" s="3" t="s">
        <v>5</v>
      </c>
      <c r="G3" s="3" t="s">
        <v>6</v>
      </c>
      <c r="H3" s="3" t="s">
        <v>7</v>
      </c>
      <c r="I3" s="3" t="s">
        <v>8</v>
      </c>
    </row>
    <row r="4" spans="2:11">
      <c r="B4" s="1" t="s">
        <v>9</v>
      </c>
      <c r="C4" s="4">
        <f>'Personnel Costs'!C12</f>
        <v>30462.252499999999</v>
      </c>
      <c r="D4" s="4">
        <f>'Personnel Costs'!E12</f>
        <v>0</v>
      </c>
      <c r="E4" s="4">
        <f>'Personnel Costs'!G12</f>
        <v>0</v>
      </c>
      <c r="F4" s="4">
        <f>'Personnel Costs'!I12</f>
        <v>0</v>
      </c>
      <c r="G4" s="4">
        <f>'Personnel Costs'!K12</f>
        <v>0</v>
      </c>
      <c r="H4" s="4">
        <f t="shared" ref="H4:H9" si="0">SUM(C4:G4)</f>
        <v>30462.252499999999</v>
      </c>
      <c r="I4" s="124">
        <f t="shared" ref="I4:I9" si="1">IFERROR(H4/$H$29,0)</f>
        <v>0.67567567567567566</v>
      </c>
      <c r="J4" s="5">
        <f>SUM(C4:G4)-'Personnel Costs'!L12</f>
        <v>0</v>
      </c>
      <c r="K4" s="6" t="s">
        <v>10</v>
      </c>
    </row>
    <row r="5" spans="2:11">
      <c r="B5" s="1" t="s">
        <v>11</v>
      </c>
      <c r="C5" s="7">
        <f>'Patient Care Costs'!C16</f>
        <v>0</v>
      </c>
      <c r="D5" s="7">
        <f>'Patient Care Costs'!D16</f>
        <v>0</v>
      </c>
      <c r="E5" s="7">
        <f>'Patient Care Costs'!E16</f>
        <v>0</v>
      </c>
      <c r="F5" s="7">
        <f>'Patient Care Costs'!F16</f>
        <v>0</v>
      </c>
      <c r="G5" s="7">
        <f>'Patient Care Costs'!G16</f>
        <v>0</v>
      </c>
      <c r="H5" s="7">
        <f t="shared" si="0"/>
        <v>0</v>
      </c>
      <c r="I5" s="124">
        <f t="shared" si="1"/>
        <v>0</v>
      </c>
      <c r="J5" s="5">
        <f>SUM(C5:G5)-'Patient Care Costs'!H16</f>
        <v>0</v>
      </c>
      <c r="K5" s="6" t="s">
        <v>10</v>
      </c>
    </row>
    <row r="6" spans="2:11">
      <c r="B6" s="1" t="s">
        <v>12</v>
      </c>
      <c r="C6" s="7">
        <f>'Other Direct Costs'!D12</f>
        <v>0</v>
      </c>
      <c r="D6" s="7">
        <f>'Other Direct Costs'!F12</f>
        <v>0</v>
      </c>
      <c r="E6" s="7">
        <f>'Other Direct Costs'!H12</f>
        <v>0</v>
      </c>
      <c r="F6" s="7">
        <f>'Other Direct Costs'!J12</f>
        <v>0</v>
      </c>
      <c r="G6" s="7">
        <f>'Other Direct Costs'!L12</f>
        <v>0</v>
      </c>
      <c r="H6" s="7">
        <f t="shared" si="0"/>
        <v>0</v>
      </c>
      <c r="I6" s="124">
        <f t="shared" si="1"/>
        <v>0</v>
      </c>
      <c r="J6" s="5">
        <f>SUM(C6:G6)-'Other Direct Costs'!M12</f>
        <v>0</v>
      </c>
      <c r="K6" s="6" t="s">
        <v>10</v>
      </c>
    </row>
    <row r="7" spans="2:11">
      <c r="B7" s="1" t="s">
        <v>13</v>
      </c>
      <c r="C7" s="7">
        <f>'Other Direct Costs'!D21</f>
        <v>0</v>
      </c>
      <c r="D7" s="7">
        <f>'Other Direct Costs'!F21</f>
        <v>0</v>
      </c>
      <c r="E7" s="7">
        <f>'Other Direct Costs'!H21</f>
        <v>0</v>
      </c>
      <c r="F7" s="7">
        <f>'Other Direct Costs'!J21</f>
        <v>0</v>
      </c>
      <c r="G7" s="7">
        <f>'Other Direct Costs'!L21</f>
        <v>0</v>
      </c>
      <c r="H7" s="7">
        <f t="shared" si="0"/>
        <v>0</v>
      </c>
      <c r="I7" s="124">
        <f t="shared" si="1"/>
        <v>0</v>
      </c>
      <c r="J7" s="5">
        <f>SUM(C7:G7)-'Other Direct Costs'!M21</f>
        <v>0</v>
      </c>
      <c r="K7" s="6" t="s">
        <v>10</v>
      </c>
    </row>
    <row r="8" spans="2:11">
      <c r="B8" s="1" t="s">
        <v>14</v>
      </c>
      <c r="C8" s="7">
        <f>'Other Direct Costs'!D31</f>
        <v>0</v>
      </c>
      <c r="D8" s="7">
        <f>'Other Direct Costs'!F31</f>
        <v>0</v>
      </c>
      <c r="E8" s="7">
        <f>'Other Direct Costs'!H31</f>
        <v>0</v>
      </c>
      <c r="F8" s="7">
        <f>'Other Direct Costs'!J31</f>
        <v>0</v>
      </c>
      <c r="G8" s="7">
        <f>'Other Direct Costs'!L31</f>
        <v>0</v>
      </c>
      <c r="H8" s="7">
        <f t="shared" si="0"/>
        <v>0</v>
      </c>
      <c r="I8" s="124">
        <f t="shared" si="1"/>
        <v>0</v>
      </c>
      <c r="J8" s="5">
        <f>SUM(C8:G8)-'Other Direct Costs'!M31</f>
        <v>0</v>
      </c>
      <c r="K8" s="6" t="s">
        <v>10</v>
      </c>
    </row>
    <row r="9" spans="2:11">
      <c r="B9" s="1" t="s">
        <v>15</v>
      </c>
      <c r="C9" s="7">
        <f>'Other Direct Costs'!D39</f>
        <v>0</v>
      </c>
      <c r="D9" s="7">
        <f>'Other Direct Costs'!F39</f>
        <v>0</v>
      </c>
      <c r="E9" s="7">
        <f>'Other Direct Costs'!H39</f>
        <v>0</v>
      </c>
      <c r="F9" s="7">
        <f>'Other Direct Costs'!J39</f>
        <v>0</v>
      </c>
      <c r="G9" s="7">
        <f>'Other Direct Costs'!L39</f>
        <v>0</v>
      </c>
      <c r="H9" s="7">
        <f t="shared" si="0"/>
        <v>0</v>
      </c>
      <c r="I9" s="124">
        <f t="shared" si="1"/>
        <v>0</v>
      </c>
      <c r="J9" s="5">
        <f>SUM(C9:G9)-'Other Direct Costs'!M39</f>
        <v>0</v>
      </c>
      <c r="K9" s="6" t="s">
        <v>10</v>
      </c>
    </row>
    <row r="10" spans="2:11" outlineLevel="1">
      <c r="C10" s="7"/>
      <c r="D10" s="7"/>
      <c r="E10" s="7"/>
      <c r="F10" s="7"/>
      <c r="G10" s="7"/>
      <c r="H10" s="7"/>
      <c r="I10" s="7"/>
      <c r="J10" s="5"/>
      <c r="K10" s="6"/>
    </row>
    <row r="11" spans="2:11" outlineLevel="1">
      <c r="B11" s="1" t="s">
        <v>16</v>
      </c>
      <c r="C11" s="7"/>
      <c r="D11" s="7"/>
      <c r="E11" s="7"/>
      <c r="F11" s="7">
        <v>0</v>
      </c>
      <c r="G11" s="7">
        <v>0</v>
      </c>
      <c r="H11" s="7">
        <f>SUM(C11:G11)</f>
        <v>0</v>
      </c>
      <c r="I11" s="124">
        <f>IFERROR(H11/$H$29,0)</f>
        <v>0</v>
      </c>
      <c r="J11" s="6" t="s">
        <v>17</v>
      </c>
    </row>
    <row r="12" spans="2:11" outlineLevel="1">
      <c r="B12" s="8" t="s">
        <v>18</v>
      </c>
      <c r="C12" s="9">
        <f>C11*$C$66</f>
        <v>0</v>
      </c>
      <c r="D12" s="9">
        <f>D11*$C$66</f>
        <v>0</v>
      </c>
      <c r="E12" s="9">
        <f>E11*$C$66</f>
        <v>0</v>
      </c>
      <c r="F12" s="9">
        <f>F11*$C$66</f>
        <v>0</v>
      </c>
      <c r="G12" s="9">
        <f>G11*$C$66</f>
        <v>0</v>
      </c>
      <c r="H12" s="9">
        <f>SUM(C12:G12)</f>
        <v>0</v>
      </c>
      <c r="I12" s="124">
        <f>IFERROR(H12/$H$29,0)</f>
        <v>0</v>
      </c>
      <c r="J12" s="5">
        <f>SUM(C12:G12)-H12</f>
        <v>0</v>
      </c>
      <c r="K12" s="6" t="s">
        <v>10</v>
      </c>
    </row>
    <row r="13" spans="2:11" outlineLevel="1">
      <c r="B13" s="10" t="s">
        <v>19</v>
      </c>
      <c r="C13" s="11">
        <f>MIN(25000,SUM(C11:C12))</f>
        <v>0</v>
      </c>
      <c r="D13" s="11">
        <f>MIN(25000-C13,IF(C13=25000,0,IF(25000-MAX(25000,SUM(D11:D12))&gt;25000-C13,25000-C13,SUM(D11:D12))))</f>
        <v>0</v>
      </c>
      <c r="E13" s="11">
        <f>MIN(25000-D13-C13,IF(D13+C13=25000,0,IF(25000-MAX(25000,SUM(E11:E12))&gt;25000-D13-C13,25000-D13-C13,SUM(E11:E12))))</f>
        <v>0</v>
      </c>
      <c r="F13" s="11">
        <f>MIN(25000-E13-D13-C13,IF(E13+D13+C13=25000,0,IF(25000-MAX(25000,SUM(F11:F12))&gt;25000-E13-D13-C13,25000-E13-D13-C13,SUM(F11:F12))))</f>
        <v>0</v>
      </c>
      <c r="G13" s="11">
        <f>MIN(25000-F13-E13-D13-C13,IF(F13+E13+D13+C13=25000,0,IF(25000-MAX(25000,SUM(G11:G12))&gt;25000-F13-E13-D13-C13,25000-F13-E13-D13-C13,SUM(G11:G12))))</f>
        <v>0</v>
      </c>
      <c r="H13" s="11">
        <f>SUM(C13:G13)</f>
        <v>0</v>
      </c>
      <c r="I13" s="11">
        <f>SUM(D13:H13)</f>
        <v>0</v>
      </c>
      <c r="J13" s="5">
        <f>IF(H13&gt;=25000,0,H13-SUM(C13:G13))</f>
        <v>0</v>
      </c>
      <c r="K13" s="6" t="s">
        <v>10</v>
      </c>
    </row>
    <row r="14" spans="2:11" outlineLevel="1">
      <c r="C14" s="12"/>
      <c r="D14" s="12"/>
      <c r="E14" s="12"/>
      <c r="F14" s="12"/>
      <c r="G14" s="12"/>
      <c r="H14" s="12"/>
      <c r="I14" s="12"/>
      <c r="J14" s="5"/>
      <c r="K14" s="6"/>
    </row>
    <row r="15" spans="2:11" outlineLevel="1">
      <c r="B15" s="1" t="s">
        <v>20</v>
      </c>
      <c r="C15" s="7">
        <v>0</v>
      </c>
      <c r="D15" s="7">
        <v>0</v>
      </c>
      <c r="E15" s="7">
        <v>0</v>
      </c>
      <c r="F15" s="7">
        <v>0</v>
      </c>
      <c r="G15" s="7">
        <v>0</v>
      </c>
      <c r="H15" s="7">
        <f>SUM(C15:G15)</f>
        <v>0</v>
      </c>
      <c r="I15" s="124">
        <f>IFERROR(H15/$H$29,0)</f>
        <v>0</v>
      </c>
      <c r="J15" s="6" t="s">
        <v>21</v>
      </c>
    </row>
    <row r="16" spans="2:11" outlineLevel="1">
      <c r="B16" s="8" t="s">
        <v>22</v>
      </c>
      <c r="C16" s="9">
        <f>C15*$C$68</f>
        <v>0</v>
      </c>
      <c r="D16" s="9">
        <f>D15*$C$68</f>
        <v>0</v>
      </c>
      <c r="E16" s="9">
        <f>E15*$C$68</f>
        <v>0</v>
      </c>
      <c r="F16" s="9">
        <f>F15*$C$68</f>
        <v>0</v>
      </c>
      <c r="G16" s="9">
        <f>G15*$C$68</f>
        <v>0</v>
      </c>
      <c r="H16" s="9">
        <f>SUM(C16:G16)</f>
        <v>0</v>
      </c>
      <c r="I16" s="124">
        <f>IFERROR(H16/$H$29,0)</f>
        <v>0</v>
      </c>
      <c r="J16" s="5">
        <f>SUM(C16:G16)-H16</f>
        <v>0</v>
      </c>
      <c r="K16" s="6" t="s">
        <v>10</v>
      </c>
    </row>
    <row r="17" spans="2:12" outlineLevel="1">
      <c r="B17" s="10" t="s">
        <v>23</v>
      </c>
      <c r="C17" s="11">
        <f>MIN(25000,SUM(C15:C16))</f>
        <v>0</v>
      </c>
      <c r="D17" s="11">
        <f>MIN(25000-C17,IF(C17=25000,0,IF(25000-MAX(25000,SUM(D15:D16))&gt;25000-C17,25000-C17,SUM(D15:D16))))</f>
        <v>0</v>
      </c>
      <c r="E17" s="11">
        <f>MIN(25000-D17-C17,IF(D17+C17=25000,0,IF(25000-MAX(25000,SUM(E15:E16))&gt;25000-D17-C17,25000-D17-C17,SUM(E15:E16))))</f>
        <v>0</v>
      </c>
      <c r="F17" s="11">
        <f>MIN(25000-E17-D17-C17,IF(E17+D17+C17=25000,0,IF(25000-MAX(25000,SUM(F15:F16))&gt;25000-E17-D17-C17,25000-E17-D17-C17,SUM(F15:F16))))</f>
        <v>0</v>
      </c>
      <c r="G17" s="11">
        <f>MIN(25000-F17-E17-D17-C17,IF(F17+E17+D17+C17=25000,0,IF(25000-MAX(25000,SUM(G15:G16))&gt;25000-F17-E17-D17-C17,25000-F17-E17-D17-C17,SUM(G15:G16))))</f>
        <v>0</v>
      </c>
      <c r="H17" s="11">
        <f>SUM(C17:G17)</f>
        <v>0</v>
      </c>
      <c r="I17" s="11">
        <f>SUM(D17:H17)</f>
        <v>0</v>
      </c>
      <c r="J17" s="5">
        <f>IF(H17&gt;=25000,0,H17-SUM(C17:G17))</f>
        <v>0</v>
      </c>
      <c r="K17" s="6" t="s">
        <v>10</v>
      </c>
    </row>
    <row r="18" spans="2:12" ht="12" outlineLevel="1">
      <c r="C18" s="12"/>
      <c r="D18" s="12"/>
      <c r="E18" s="12"/>
      <c r="F18" s="12"/>
      <c r="G18" s="12"/>
      <c r="H18" s="12"/>
      <c r="I18" s="12"/>
      <c r="J18" s="5"/>
      <c r="K18" s="6"/>
    </row>
    <row r="19" spans="2:12" ht="12" outlineLevel="1">
      <c r="B19" s="1" t="s">
        <v>24</v>
      </c>
      <c r="C19" s="7">
        <v>0</v>
      </c>
      <c r="D19" s="7">
        <v>0</v>
      </c>
      <c r="E19" s="7">
        <v>0</v>
      </c>
      <c r="F19" s="7">
        <v>0</v>
      </c>
      <c r="G19" s="7">
        <v>0</v>
      </c>
      <c r="H19" s="7">
        <f>SUM(C19:G19)</f>
        <v>0</v>
      </c>
      <c r="I19" s="124">
        <f>IFERROR(H19/$H$29,0)</f>
        <v>0</v>
      </c>
      <c r="J19" s="5"/>
      <c r="K19" s="6"/>
    </row>
    <row r="20" spans="2:12" ht="12" outlineLevel="1">
      <c r="B20" s="8" t="s">
        <v>25</v>
      </c>
      <c r="C20" s="9">
        <f>C19*$C$68</f>
        <v>0</v>
      </c>
      <c r="D20" s="9">
        <f>D19*$C$68</f>
        <v>0</v>
      </c>
      <c r="E20" s="9">
        <f>E19*$C$68</f>
        <v>0</v>
      </c>
      <c r="F20" s="9">
        <f>F19*$C$68</f>
        <v>0</v>
      </c>
      <c r="G20" s="9">
        <f>G19*$C$68</f>
        <v>0</v>
      </c>
      <c r="H20" s="9">
        <f>SUM(C20:G20)</f>
        <v>0</v>
      </c>
      <c r="I20" s="124">
        <f>IFERROR(H20/$H$29,0)</f>
        <v>0</v>
      </c>
      <c r="J20" s="5"/>
      <c r="K20" s="6"/>
    </row>
    <row r="21" spans="2:12" ht="12" outlineLevel="1">
      <c r="B21" s="10" t="s">
        <v>26</v>
      </c>
      <c r="C21" s="11">
        <f>MIN(25000,SUM(C19:C20))</f>
        <v>0</v>
      </c>
      <c r="D21" s="11">
        <f>MIN(25000-C21,IF(C21=25000,0,IF(25000-MAX(25000,SUM(D19:D20))&gt;25000-C21,25000-C21,SUM(D19:D20))))</f>
        <v>0</v>
      </c>
      <c r="E21" s="11">
        <f>MIN(25000-D21-C21,IF(D21+C21=25000,0,IF(25000-MAX(25000,SUM(E19:E20))&gt;25000-D21-C21,25000-D21-C21,SUM(E19:E20))))</f>
        <v>0</v>
      </c>
      <c r="F21" s="11">
        <f>MIN(25000-E21-D21-C21,IF(E21+D21+C21=25000,0,IF(25000-MAX(25000,SUM(F19:F20))&gt;25000-E21-D21-C21,25000-E21-D21-C21,SUM(F19:F20))))</f>
        <v>0</v>
      </c>
      <c r="G21" s="11">
        <f>MIN(25000-F21-E21-D21-C21,IF(F21+E21+D21+C21=25000,0,IF(25000-MAX(25000,SUM(G19:G20))&gt;25000-F21-E21-D21-C21,25000-F21-E21-D21-C21,SUM(G19:G20))))</f>
        <v>0</v>
      </c>
      <c r="H21" s="11">
        <f>SUM(C21:G21)</f>
        <v>0</v>
      </c>
      <c r="I21" s="11">
        <f>SUM(D21:H21)</f>
        <v>0</v>
      </c>
      <c r="J21" s="5"/>
      <c r="K21" s="6"/>
    </row>
    <row r="22" spans="2:12" outlineLevel="1">
      <c r="C22" s="12"/>
      <c r="D22" s="12"/>
      <c r="E22" s="12"/>
      <c r="F22" s="12"/>
      <c r="G22" s="12"/>
      <c r="H22" s="12"/>
      <c r="I22" s="12"/>
      <c r="J22" s="5"/>
      <c r="K22" s="6"/>
    </row>
    <row r="23" spans="2:12">
      <c r="B23" s="1" t="s">
        <v>27</v>
      </c>
      <c r="C23" s="7">
        <f t="shared" ref="C23:G25" si="2">C11+C15</f>
        <v>0</v>
      </c>
      <c r="D23" s="7">
        <f t="shared" si="2"/>
        <v>0</v>
      </c>
      <c r="E23" s="7">
        <f t="shared" si="2"/>
        <v>0</v>
      </c>
      <c r="F23" s="7">
        <f t="shared" si="2"/>
        <v>0</v>
      </c>
      <c r="G23" s="7">
        <f t="shared" si="2"/>
        <v>0</v>
      </c>
      <c r="H23" s="7">
        <f>SUM(C23:G23)</f>
        <v>0</v>
      </c>
      <c r="I23" s="124">
        <f>IFERROR(H23/$H$29,0)</f>
        <v>0</v>
      </c>
      <c r="J23" s="5">
        <f>SUM(C23:G23)-H23</f>
        <v>0</v>
      </c>
      <c r="K23" s="6" t="s">
        <v>10</v>
      </c>
    </row>
    <row r="24" spans="2:12">
      <c r="B24" s="8" t="s">
        <v>28</v>
      </c>
      <c r="C24" s="9">
        <f t="shared" si="2"/>
        <v>0</v>
      </c>
      <c r="D24" s="9">
        <f t="shared" si="2"/>
        <v>0</v>
      </c>
      <c r="E24" s="9">
        <f t="shared" si="2"/>
        <v>0</v>
      </c>
      <c r="F24" s="9">
        <f t="shared" si="2"/>
        <v>0</v>
      </c>
      <c r="G24" s="9">
        <f t="shared" si="2"/>
        <v>0</v>
      </c>
      <c r="H24" s="9">
        <f>SUM(C24:G24)</f>
        <v>0</v>
      </c>
      <c r="I24" s="124">
        <f>IFERROR(H24/$H$29,0)</f>
        <v>0</v>
      </c>
      <c r="J24" s="5">
        <f>SUM(C24:G24)-H24</f>
        <v>0</v>
      </c>
      <c r="K24" s="6" t="s">
        <v>10</v>
      </c>
    </row>
    <row r="25" spans="2:12">
      <c r="B25" s="10" t="s">
        <v>29</v>
      </c>
      <c r="C25" s="11">
        <f>C13+C17</f>
        <v>0</v>
      </c>
      <c r="D25" s="11">
        <f t="shared" si="2"/>
        <v>0</v>
      </c>
      <c r="E25" s="11">
        <f t="shared" si="2"/>
        <v>0</v>
      </c>
      <c r="F25" s="11">
        <f t="shared" si="2"/>
        <v>0</v>
      </c>
      <c r="G25" s="11">
        <f t="shared" si="2"/>
        <v>0</v>
      </c>
      <c r="H25" s="11">
        <f>SUM(C25:G25)</f>
        <v>0</v>
      </c>
      <c r="I25" s="11">
        <f>SUM(C25:G25)</f>
        <v>0</v>
      </c>
      <c r="J25" s="5">
        <f>IF(H25&gt;=25000,0,H25-SUM(C25:G25))</f>
        <v>0</v>
      </c>
      <c r="K25" s="6" t="s">
        <v>10</v>
      </c>
    </row>
    <row r="26" spans="2:12">
      <c r="B26" s="13" t="s">
        <v>30</v>
      </c>
      <c r="C26" s="4">
        <f t="shared" ref="C26:H26" si="3">SUM(C4:C9,C23:C24)</f>
        <v>30462.252499999999</v>
      </c>
      <c r="D26" s="4">
        <f t="shared" si="3"/>
        <v>0</v>
      </c>
      <c r="E26" s="4">
        <f t="shared" si="3"/>
        <v>0</v>
      </c>
      <c r="F26" s="4">
        <f t="shared" si="3"/>
        <v>0</v>
      </c>
      <c r="G26" s="4">
        <f t="shared" si="3"/>
        <v>0</v>
      </c>
      <c r="H26" s="4">
        <f t="shared" si="3"/>
        <v>30462.252499999999</v>
      </c>
      <c r="I26" s="124">
        <f>IFERROR(H26/$H$29,0)</f>
        <v>0.67567567567567566</v>
      </c>
      <c r="J26" s="5">
        <f>SUM(C26:G26)-H26</f>
        <v>0</v>
      </c>
      <c r="K26" s="6" t="s">
        <v>10</v>
      </c>
      <c r="L26" s="14"/>
    </row>
    <row r="27" spans="2:12">
      <c r="B27" s="15" t="s">
        <v>31</v>
      </c>
      <c r="C27" s="9">
        <f>C4+C6+C8+C7+C25</f>
        <v>30462.252499999999</v>
      </c>
      <c r="D27" s="9">
        <f>D4+D6+D8+D7+D25</f>
        <v>0</v>
      </c>
      <c r="E27" s="9">
        <f>E4+E6+E8+E7+E25</f>
        <v>0</v>
      </c>
      <c r="F27" s="9">
        <f>F4+F6+F8+F7+F25</f>
        <v>0</v>
      </c>
      <c r="G27" s="9">
        <f>G4+G6+G8+G7+G25</f>
        <v>0</v>
      </c>
      <c r="H27" s="9">
        <f>SUM(C27:G27)</f>
        <v>30462.252499999999</v>
      </c>
      <c r="I27" s="125">
        <f>IFERROR(H27/$H$29,0)</f>
        <v>0.67567567567567566</v>
      </c>
    </row>
    <row r="28" spans="2:12" ht="12" thickBot="1">
      <c r="B28" s="16" t="s">
        <v>32</v>
      </c>
      <c r="C28" s="17">
        <f>C27*$C$64</f>
        <v>14621.881199999998</v>
      </c>
      <c r="D28" s="17">
        <f>D27*$C$64</f>
        <v>0</v>
      </c>
      <c r="E28" s="17">
        <f>E27*$C$64</f>
        <v>0</v>
      </c>
      <c r="F28" s="17">
        <f>F27*$C$64</f>
        <v>0</v>
      </c>
      <c r="G28" s="17">
        <f>G27*$C$64</f>
        <v>0</v>
      </c>
      <c r="H28" s="17">
        <f>SUM(C28:G28)</f>
        <v>14621.881199999998</v>
      </c>
      <c r="I28" s="124">
        <f>IFERROR(H28/$H$29,0)</f>
        <v>0.32432432432432429</v>
      </c>
    </row>
    <row r="29" spans="2:12" ht="12" thickBot="1">
      <c r="B29" s="119" t="s">
        <v>33</v>
      </c>
      <c r="C29" s="120">
        <f t="shared" ref="C29:I29" si="4">C26+C28</f>
        <v>45084.133699999998</v>
      </c>
      <c r="D29" s="120">
        <f t="shared" si="4"/>
        <v>0</v>
      </c>
      <c r="E29" s="120">
        <f t="shared" si="4"/>
        <v>0</v>
      </c>
      <c r="F29" s="120">
        <f t="shared" si="4"/>
        <v>0</v>
      </c>
      <c r="G29" s="120">
        <f t="shared" si="4"/>
        <v>0</v>
      </c>
      <c r="H29" s="120">
        <f t="shared" si="4"/>
        <v>45084.133699999998</v>
      </c>
      <c r="I29" s="128">
        <f t="shared" si="4"/>
        <v>1</v>
      </c>
      <c r="J29" s="5">
        <f>SUM(C29:G29)-H29</f>
        <v>0</v>
      </c>
      <c r="K29" s="6" t="s">
        <v>10</v>
      </c>
    </row>
    <row r="30" spans="2:12" hidden="1" outlineLevel="1">
      <c r="B30" s="13"/>
      <c r="C30" s="20"/>
      <c r="D30" s="20"/>
      <c r="E30" s="20"/>
      <c r="F30" s="20"/>
      <c r="G30" s="20"/>
      <c r="H30" s="20"/>
      <c r="I30" s="20"/>
      <c r="J30" s="5"/>
      <c r="K30" s="6"/>
    </row>
    <row r="31" spans="2:12" hidden="1" outlineLevel="1">
      <c r="B31" s="13" t="s">
        <v>34</v>
      </c>
      <c r="C31" s="20">
        <v>0</v>
      </c>
      <c r="D31" s="20">
        <v>0</v>
      </c>
      <c r="E31" s="20">
        <v>0</v>
      </c>
      <c r="F31" s="20">
        <v>0</v>
      </c>
      <c r="G31" s="20">
        <v>0</v>
      </c>
      <c r="H31" s="20">
        <f>SUM(C31:G31)</f>
        <v>0</v>
      </c>
      <c r="I31" s="20"/>
      <c r="J31" s="5"/>
      <c r="K31" s="6"/>
    </row>
    <row r="32" spans="2:12" hidden="1" outlineLevel="1">
      <c r="B32" s="13"/>
      <c r="C32" s="20"/>
      <c r="D32" s="20"/>
      <c r="E32" s="20"/>
      <c r="F32" s="20"/>
      <c r="G32" s="20"/>
      <c r="H32" s="20"/>
      <c r="I32" s="20"/>
      <c r="J32" s="5"/>
      <c r="K32" s="6"/>
    </row>
    <row r="33" spans="2:17" hidden="1" outlineLevel="1">
      <c r="B33" s="13" t="s">
        <v>35</v>
      </c>
      <c r="C33" s="20">
        <f>C31-C26</f>
        <v>-30462.252499999999</v>
      </c>
      <c r="D33" s="20">
        <f>D31-D26</f>
        <v>0</v>
      </c>
      <c r="E33" s="20">
        <f>E31-E26</f>
        <v>0</v>
      </c>
      <c r="F33" s="20">
        <f>F31-F26</f>
        <v>0</v>
      </c>
      <c r="G33" s="20">
        <f>G31-G26</f>
        <v>0</v>
      </c>
      <c r="H33" s="20">
        <f>SUM(C33:G33)</f>
        <v>-30462.252499999999</v>
      </c>
      <c r="I33" s="20"/>
      <c r="J33" s="5"/>
      <c r="K33" s="6"/>
    </row>
    <row r="34" spans="2:17" ht="12" collapsed="1" thickBot="1"/>
    <row r="35" spans="2:17" ht="15.75" customHeight="1" thickBot="1">
      <c r="B35" s="172" t="s">
        <v>36</v>
      </c>
      <c r="C35" s="173"/>
      <c r="D35" s="173"/>
      <c r="E35" s="173"/>
      <c r="F35" s="173"/>
      <c r="G35" s="173"/>
      <c r="H35" s="173"/>
      <c r="I35" s="174"/>
    </row>
    <row r="36" spans="2:17">
      <c r="B36" s="15" t="s">
        <v>1</v>
      </c>
      <c r="C36" s="21" t="s">
        <v>2</v>
      </c>
      <c r="D36" s="21" t="s">
        <v>3</v>
      </c>
      <c r="E36" s="21" t="s">
        <v>4</v>
      </c>
      <c r="F36" s="21" t="s">
        <v>5</v>
      </c>
      <c r="G36" s="21" t="s">
        <v>6</v>
      </c>
      <c r="H36" s="21" t="s">
        <v>7</v>
      </c>
      <c r="I36" s="3" t="s">
        <v>8</v>
      </c>
    </row>
    <row r="37" spans="2:17">
      <c r="B37" s="1" t="s">
        <v>9</v>
      </c>
      <c r="C37" s="4">
        <f>'Personnel Costs'!C33</f>
        <v>5671.7475000000013</v>
      </c>
      <c r="D37" s="4">
        <f>'Personnel Costs'!E33</f>
        <v>0</v>
      </c>
      <c r="E37" s="4">
        <f>'Personnel Costs'!G33</f>
        <v>0</v>
      </c>
      <c r="F37" s="4">
        <f>'Personnel Costs'!I33</f>
        <v>0</v>
      </c>
      <c r="G37" s="4">
        <f>'Personnel Costs'!K33</f>
        <v>0</v>
      </c>
      <c r="H37" s="4">
        <f>SUM(C37:G37)</f>
        <v>5671.7475000000013</v>
      </c>
      <c r="I37" s="124">
        <f>IFERROR(H37/$H$40,0)</f>
        <v>1</v>
      </c>
      <c r="J37" s="5">
        <f>SUM(C37:G37)-'Personnel Costs'!L33</f>
        <v>0</v>
      </c>
      <c r="K37" s="6" t="s">
        <v>10</v>
      </c>
    </row>
    <row r="38" spans="2:17">
      <c r="B38" s="1" t="s">
        <v>37</v>
      </c>
      <c r="C38" s="7">
        <f>'Patient Care Costs'!H66</f>
        <v>0</v>
      </c>
      <c r="D38" s="7">
        <f>'Patient Care Costs'!L66</f>
        <v>0</v>
      </c>
      <c r="E38" s="7">
        <f>'Patient Care Costs'!P66</f>
        <v>0</v>
      </c>
      <c r="F38" s="7">
        <f>'Patient Care Costs'!T66</f>
        <v>0</v>
      </c>
      <c r="G38" s="7">
        <f>'Patient Care Costs'!X66</f>
        <v>0</v>
      </c>
      <c r="H38" s="7">
        <f>SUM(C38:G38)</f>
        <v>0</v>
      </c>
      <c r="I38" s="124">
        <f>IFERROR(H38/$H$40,0)</f>
        <v>0</v>
      </c>
      <c r="J38" s="5">
        <f>SUM(C38:G38)-'Patient Care Costs'!AB66</f>
        <v>0</v>
      </c>
      <c r="K38" s="6" t="s">
        <v>10</v>
      </c>
    </row>
    <row r="39" spans="2:17" ht="12" thickBot="1">
      <c r="B39" s="1" t="s">
        <v>38</v>
      </c>
      <c r="C39" s="12"/>
      <c r="D39" s="12"/>
      <c r="E39" s="12"/>
      <c r="F39" s="12"/>
      <c r="G39" s="12"/>
      <c r="H39" s="12"/>
      <c r="I39" s="12"/>
    </row>
    <row r="40" spans="2:17" ht="12" thickBot="1">
      <c r="B40" s="119" t="s">
        <v>39</v>
      </c>
      <c r="C40" s="120">
        <f t="shared" ref="C40:I40" si="5">SUM(C37:C39)</f>
        <v>5671.7475000000013</v>
      </c>
      <c r="D40" s="120">
        <f t="shared" si="5"/>
        <v>0</v>
      </c>
      <c r="E40" s="120">
        <f t="shared" si="5"/>
        <v>0</v>
      </c>
      <c r="F40" s="120">
        <f t="shared" si="5"/>
        <v>0</v>
      </c>
      <c r="G40" s="120">
        <f t="shared" si="5"/>
        <v>0</v>
      </c>
      <c r="H40" s="120">
        <f t="shared" si="5"/>
        <v>5671.7475000000013</v>
      </c>
      <c r="I40" s="128">
        <f t="shared" si="5"/>
        <v>1</v>
      </c>
      <c r="J40" s="5">
        <f>SUM(C40:G40)-H40</f>
        <v>0</v>
      </c>
      <c r="K40" s="6" t="s">
        <v>10</v>
      </c>
    </row>
    <row r="41" spans="2:17" ht="12" thickBot="1">
      <c r="B41" s="13"/>
      <c r="C41" s="23"/>
      <c r="D41" s="23"/>
      <c r="E41" s="23"/>
      <c r="F41" s="23"/>
      <c r="G41" s="23"/>
      <c r="H41" s="23"/>
      <c r="I41" s="23"/>
    </row>
    <row r="42" spans="2:17" ht="12" thickBot="1">
      <c r="B42" s="119" t="s">
        <v>40</v>
      </c>
      <c r="C42" s="120">
        <f t="shared" ref="C42:H42" si="6">C29+C40</f>
        <v>50755.881200000003</v>
      </c>
      <c r="D42" s="120">
        <f t="shared" si="6"/>
        <v>0</v>
      </c>
      <c r="E42" s="120">
        <f t="shared" si="6"/>
        <v>0</v>
      </c>
      <c r="F42" s="120">
        <f t="shared" si="6"/>
        <v>0</v>
      </c>
      <c r="G42" s="120">
        <f t="shared" si="6"/>
        <v>0</v>
      </c>
      <c r="H42" s="120">
        <f t="shared" si="6"/>
        <v>50755.881200000003</v>
      </c>
      <c r="I42" s="128">
        <f>MAX(I29,I40)</f>
        <v>1</v>
      </c>
      <c r="J42" s="5">
        <f>SUM(C42:G42)-H42</f>
        <v>0</v>
      </c>
      <c r="K42" s="6" t="s">
        <v>10</v>
      </c>
    </row>
    <row r="43" spans="2:17">
      <c r="B43" s="13"/>
      <c r="C43" s="23"/>
      <c r="D43" s="23"/>
      <c r="E43" s="23"/>
      <c r="F43" s="23"/>
      <c r="G43" s="23"/>
      <c r="H43" s="23"/>
      <c r="I43" s="23"/>
    </row>
    <row r="44" spans="2:17" s="6" customFormat="1" hidden="1" outlineLevel="1">
      <c r="B44" s="117" t="s">
        <v>41</v>
      </c>
      <c r="C44" s="118">
        <f t="shared" ref="C44:H44" si="7">C29+C40-C42</f>
        <v>0</v>
      </c>
      <c r="D44" s="118">
        <f t="shared" si="7"/>
        <v>0</v>
      </c>
      <c r="E44" s="118">
        <f t="shared" si="7"/>
        <v>0</v>
      </c>
      <c r="F44" s="118">
        <f t="shared" si="7"/>
        <v>0</v>
      </c>
      <c r="G44" s="118">
        <f t="shared" si="7"/>
        <v>0</v>
      </c>
      <c r="H44" s="118">
        <f t="shared" si="7"/>
        <v>0</v>
      </c>
      <c r="I44" s="126">
        <f>I42-SUM(I29)</f>
        <v>0</v>
      </c>
      <c r="J44" s="5">
        <f>SUM(C44:G44)-H44</f>
        <v>0</v>
      </c>
      <c r="K44" s="6" t="s">
        <v>10</v>
      </c>
    </row>
    <row r="45" spans="2:17" ht="12" collapsed="1" thickBot="1">
      <c r="B45" s="13"/>
      <c r="C45" s="23"/>
      <c r="D45" s="23"/>
      <c r="E45" s="23"/>
      <c r="F45" s="23"/>
      <c r="G45" s="23"/>
      <c r="H45" s="23"/>
      <c r="I45" s="23"/>
    </row>
    <row r="46" spans="2:17" ht="15" customHeight="1" thickBot="1">
      <c r="B46" s="172" t="s">
        <v>42</v>
      </c>
      <c r="C46" s="173"/>
      <c r="D46" s="173"/>
      <c r="E46" s="173"/>
      <c r="F46" s="173"/>
      <c r="G46" s="173"/>
      <c r="H46" s="173"/>
      <c r="I46" s="174"/>
      <c r="L46" s="169" t="s">
        <v>43</v>
      </c>
      <c r="M46" s="169"/>
      <c r="N46" s="169"/>
      <c r="O46" s="169"/>
      <c r="P46" s="169"/>
      <c r="Q46" s="169"/>
    </row>
    <row r="47" spans="2:17" ht="23.25" customHeight="1">
      <c r="B47" s="15" t="s">
        <v>1</v>
      </c>
      <c r="C47" s="21" t="s">
        <v>2</v>
      </c>
      <c r="D47" s="21" t="s">
        <v>3</v>
      </c>
      <c r="E47" s="21" t="s">
        <v>4</v>
      </c>
      <c r="F47" s="21" t="s">
        <v>5</v>
      </c>
      <c r="G47" s="21" t="s">
        <v>6</v>
      </c>
      <c r="H47" s="21" t="s">
        <v>7</v>
      </c>
      <c r="I47" s="3" t="s">
        <v>8</v>
      </c>
      <c r="L47" s="169"/>
      <c r="M47" s="169"/>
      <c r="N47" s="169"/>
      <c r="O47" s="169"/>
      <c r="P47" s="169"/>
      <c r="Q47" s="169"/>
    </row>
    <row r="48" spans="2:17">
      <c r="B48" s="1" t="s">
        <v>44</v>
      </c>
      <c r="C48" s="4"/>
      <c r="D48" s="4"/>
      <c r="E48" s="4"/>
      <c r="F48" s="4"/>
      <c r="G48" s="4"/>
      <c r="H48" s="4">
        <f t="shared" ref="H48:H54" si="8">SUM(C48:G48)</f>
        <v>0</v>
      </c>
      <c r="I48" s="124">
        <f t="shared" ref="I48:I54" si="9">IFERROR(H48/$H$42,0)</f>
        <v>0</v>
      </c>
      <c r="J48" s="5">
        <f t="shared" ref="J48:J54" si="10">SUM(C48:G48)-H48</f>
        <v>0</v>
      </c>
      <c r="K48" s="6" t="s">
        <v>10</v>
      </c>
    </row>
    <row r="49" spans="2:11">
      <c r="B49" s="1" t="s">
        <v>45</v>
      </c>
      <c r="C49" s="4"/>
      <c r="D49" s="4"/>
      <c r="E49" s="4"/>
      <c r="F49" s="4"/>
      <c r="G49" s="4"/>
      <c r="H49" s="4">
        <f t="shared" si="8"/>
        <v>0</v>
      </c>
      <c r="I49" s="124">
        <f t="shared" si="9"/>
        <v>0</v>
      </c>
      <c r="J49" s="5">
        <f t="shared" si="10"/>
        <v>0</v>
      </c>
      <c r="K49" s="6" t="s">
        <v>10</v>
      </c>
    </row>
    <row r="50" spans="2:11">
      <c r="B50" s="1" t="s">
        <v>46</v>
      </c>
      <c r="C50" s="4"/>
      <c r="D50" s="4"/>
      <c r="E50" s="4"/>
      <c r="F50" s="4"/>
      <c r="G50" s="4"/>
      <c r="H50" s="4">
        <f t="shared" si="8"/>
        <v>0</v>
      </c>
      <c r="I50" s="124">
        <f t="shared" si="9"/>
        <v>0</v>
      </c>
      <c r="J50" s="5">
        <f t="shared" si="10"/>
        <v>0</v>
      </c>
      <c r="K50" s="6" t="s">
        <v>10</v>
      </c>
    </row>
    <row r="51" spans="2:11">
      <c r="B51" s="1" t="s">
        <v>47</v>
      </c>
      <c r="C51" s="4">
        <f>SUM(C52:C53)</f>
        <v>0</v>
      </c>
      <c r="D51" s="4">
        <f>SUM(D52:D53)</f>
        <v>0</v>
      </c>
      <c r="E51" s="4">
        <f>SUM(E52:E53)</f>
        <v>0</v>
      </c>
      <c r="F51" s="4">
        <f>SUM(F52:F53)</f>
        <v>0</v>
      </c>
      <c r="G51" s="4">
        <f>SUM(G52:G53)</f>
        <v>0</v>
      </c>
      <c r="H51" s="4">
        <f t="shared" si="8"/>
        <v>0</v>
      </c>
      <c r="I51" s="124">
        <f t="shared" si="9"/>
        <v>0</v>
      </c>
      <c r="J51" s="5">
        <f t="shared" si="10"/>
        <v>0</v>
      </c>
      <c r="K51" s="6" t="s">
        <v>10</v>
      </c>
    </row>
    <row r="52" spans="2:11">
      <c r="B52" s="127"/>
      <c r="C52" s="4"/>
      <c r="D52" s="4"/>
      <c r="E52" s="4"/>
      <c r="F52" s="4"/>
      <c r="G52" s="4"/>
      <c r="H52" s="4">
        <f t="shared" si="8"/>
        <v>0</v>
      </c>
      <c r="I52" s="124">
        <f t="shared" si="9"/>
        <v>0</v>
      </c>
      <c r="J52" s="5">
        <f t="shared" si="10"/>
        <v>0</v>
      </c>
      <c r="K52" s="6" t="s">
        <v>10</v>
      </c>
    </row>
    <row r="53" spans="2:11">
      <c r="B53" s="127"/>
      <c r="C53" s="4"/>
      <c r="D53" s="4"/>
      <c r="E53" s="4"/>
      <c r="F53" s="4"/>
      <c r="G53" s="4"/>
      <c r="H53" s="4">
        <f t="shared" si="8"/>
        <v>0</v>
      </c>
      <c r="I53" s="124">
        <f t="shared" si="9"/>
        <v>0</v>
      </c>
      <c r="J53" s="5">
        <f t="shared" si="10"/>
        <v>0</v>
      </c>
      <c r="K53" s="6" t="s">
        <v>10</v>
      </c>
    </row>
    <row r="54" spans="2:11">
      <c r="B54" s="1" t="s">
        <v>48</v>
      </c>
      <c r="C54" s="4"/>
      <c r="D54" s="4"/>
      <c r="E54" s="4"/>
      <c r="F54" s="4"/>
      <c r="G54" s="4"/>
      <c r="H54" s="4">
        <f t="shared" si="8"/>
        <v>0</v>
      </c>
      <c r="I54" s="124">
        <f t="shared" si="9"/>
        <v>0</v>
      </c>
      <c r="J54" s="5">
        <f t="shared" si="10"/>
        <v>0</v>
      </c>
      <c r="K54" s="6" t="s">
        <v>10</v>
      </c>
    </row>
    <row r="55" spans="2:11">
      <c r="C55" s="4"/>
      <c r="D55" s="4"/>
      <c r="E55" s="4"/>
      <c r="F55" s="4"/>
      <c r="G55" s="4"/>
      <c r="H55" s="4"/>
      <c r="I55" s="124"/>
      <c r="J55" s="5"/>
      <c r="K55" s="6"/>
    </row>
    <row r="56" spans="2:11">
      <c r="C56" s="4"/>
      <c r="D56" s="4"/>
      <c r="E56" s="4"/>
      <c r="F56" s="4"/>
      <c r="G56" s="4"/>
      <c r="H56" s="4"/>
      <c r="I56" s="4"/>
      <c r="J56" s="5"/>
      <c r="K56" s="6"/>
    </row>
    <row r="57" spans="2:11" s="6" customFormat="1" outlineLevel="1">
      <c r="B57" s="117" t="s">
        <v>41</v>
      </c>
      <c r="C57" s="118">
        <f t="shared" ref="C57:H57" si="11">-C42+SUM(C48:C51,C54)</f>
        <v>-50755.881200000003</v>
      </c>
      <c r="D57" s="118">
        <f t="shared" si="11"/>
        <v>0</v>
      </c>
      <c r="E57" s="118">
        <f t="shared" si="11"/>
        <v>0</v>
      </c>
      <c r="F57" s="118">
        <f t="shared" si="11"/>
        <v>0</v>
      </c>
      <c r="G57" s="118">
        <f t="shared" si="11"/>
        <v>0</v>
      </c>
      <c r="H57" s="118">
        <f t="shared" si="11"/>
        <v>-50755.881200000003</v>
      </c>
      <c r="I57" s="126">
        <f>I29-SUM(I48:I51,I54)</f>
        <v>1</v>
      </c>
      <c r="J57" s="5">
        <f>SUM(C57:G57)-H57</f>
        <v>0</v>
      </c>
      <c r="K57" s="6" t="s">
        <v>10</v>
      </c>
    </row>
    <row r="58" spans="2:11">
      <c r="B58" s="13"/>
      <c r="C58" s="23"/>
      <c r="D58" s="23"/>
      <c r="E58" s="23"/>
      <c r="F58" s="23"/>
      <c r="G58" s="23"/>
      <c r="H58" s="23"/>
      <c r="I58" s="23"/>
    </row>
    <row r="59" spans="2:11" ht="12" customHeight="1">
      <c r="B59" s="13" t="s">
        <v>49</v>
      </c>
      <c r="C59" s="13"/>
      <c r="D59" s="13"/>
      <c r="E59" s="13"/>
      <c r="F59" s="13"/>
      <c r="G59" s="13"/>
      <c r="H59" s="13"/>
      <c r="I59" s="121"/>
    </row>
    <row r="61" spans="2:11">
      <c r="B61" s="171" t="s">
        <v>50</v>
      </c>
      <c r="C61" s="171"/>
      <c r="D61" s="171"/>
      <c r="E61" s="171"/>
      <c r="F61" s="171"/>
      <c r="G61" s="171"/>
      <c r="H61" s="171"/>
      <c r="I61" s="123"/>
    </row>
    <row r="62" spans="2:11" ht="59.25" customHeight="1">
      <c r="B62" s="170" t="s">
        <v>51</v>
      </c>
      <c r="C62" s="170"/>
      <c r="D62" s="170"/>
      <c r="E62" s="170"/>
      <c r="F62" s="170"/>
      <c r="G62" s="170"/>
      <c r="H62" s="170"/>
      <c r="I62" s="122"/>
    </row>
    <row r="63" spans="2:11" ht="12" thickBot="1"/>
    <row r="64" spans="2:11" ht="12" thickBot="1">
      <c r="B64" s="24" t="s">
        <v>52</v>
      </c>
      <c r="C64" s="25">
        <v>0.48</v>
      </c>
    </row>
    <row r="65" spans="2:3" ht="12" thickBot="1"/>
    <row r="66" spans="2:3" ht="12" thickBot="1">
      <c r="B66" s="24" t="s">
        <v>53</v>
      </c>
      <c r="C66" s="25">
        <v>0</v>
      </c>
    </row>
    <row r="67" spans="2:3" ht="12" thickBot="1"/>
    <row r="68" spans="2:3" ht="12" thickBot="1">
      <c r="B68" s="24" t="s">
        <v>54</v>
      </c>
      <c r="C68" s="25">
        <v>0</v>
      </c>
    </row>
    <row r="69" spans="2:3" ht="12" thickBot="1"/>
    <row r="70" spans="2:3" ht="12" thickBot="1">
      <c r="B70" s="24" t="s">
        <v>55</v>
      </c>
      <c r="C70" s="25">
        <v>0</v>
      </c>
    </row>
  </sheetData>
  <dataConsolidate/>
  <mergeCells count="6">
    <mergeCell ref="L46:Q47"/>
    <mergeCell ref="B62:H62"/>
    <mergeCell ref="B61:H61"/>
    <mergeCell ref="B2:I2"/>
    <mergeCell ref="B35:I35"/>
    <mergeCell ref="B46:I46"/>
  </mergeCells>
  <printOptions gridLines="1"/>
  <pageMargins left="0.7" right="0.7" top="0.75" bottom="0.75" header="0.3" footer="0.3"/>
  <pageSetup scale="84"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CB4A941C-DC3F-48EB-9D21-4C5844BBC56E}">
          <x14:formula1>
            <xm:f>References!$B$20:$B$27</xm:f>
          </x14:formula1>
          <xm:sqref>B55:B56</xm:sqref>
        </x14:dataValidation>
        <x14:dataValidation type="list" allowBlank="1" showInputMessage="1" showErrorMessage="1" xr:uid="{1613313D-B52A-4224-BC3B-20CAC4CC5293}">
          <x14:formula1>
            <xm:f>References!$D$3:$D$22</xm:f>
          </x14:formula1>
          <xm:sqref>B52:B53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2"/>
  <sheetViews>
    <sheetView tabSelected="1" zoomScale="80" zoomScaleNormal="80" workbookViewId="0">
      <selection activeCell="D37" sqref="D37"/>
    </sheetView>
  </sheetViews>
  <sheetFormatPr defaultColWidth="9.140625" defaultRowHeight="11.45"/>
  <cols>
    <col min="1" max="1" width="12.28515625" style="1" bestFit="1" customWidth="1"/>
    <col min="2" max="2" width="13.28515625" style="1" customWidth="1"/>
    <col min="3" max="3" width="13.85546875" style="1" bestFit="1" customWidth="1"/>
    <col min="4" max="4" width="15.28515625" style="1" bestFit="1" customWidth="1"/>
    <col min="5" max="11" width="12.140625" style="1" bestFit="1" customWidth="1"/>
    <col min="12" max="12" width="13.7109375" style="1" bestFit="1" customWidth="1"/>
    <col min="13" max="13" width="11.140625" style="1" bestFit="1" customWidth="1"/>
    <col min="14" max="14" width="12.140625" style="1" bestFit="1" customWidth="1"/>
    <col min="15" max="15" width="13.28515625" style="1" bestFit="1" customWidth="1"/>
    <col min="16" max="16" width="13.5703125" style="1" bestFit="1" customWidth="1"/>
    <col min="17" max="17" width="13.28515625" style="1" bestFit="1" customWidth="1"/>
    <col min="18" max="18" width="12.42578125" style="1" bestFit="1" customWidth="1"/>
    <col min="19" max="19" width="11.5703125" style="1" bestFit="1" customWidth="1"/>
    <col min="20" max="20" width="12.42578125" style="1" bestFit="1" customWidth="1"/>
    <col min="21" max="21" width="11.140625" style="1" bestFit="1" customWidth="1"/>
    <col min="22" max="22" width="15.85546875" style="1" customWidth="1"/>
    <col min="23" max="23" width="8.42578125" style="1" bestFit="1" customWidth="1"/>
    <col min="24" max="24" width="12.140625" style="1" bestFit="1" customWidth="1"/>
    <col min="25" max="25" width="11.140625" style="1" bestFit="1" customWidth="1"/>
    <col min="26" max="26" width="12.140625" style="1" bestFit="1" customWidth="1"/>
    <col min="27" max="16384" width="9.140625" style="1"/>
  </cols>
  <sheetData>
    <row r="1" spans="1:23" ht="12" thickBot="1"/>
    <row r="2" spans="1:23" ht="23.45" thickBot="1">
      <c r="B2" s="184" t="s">
        <v>2</v>
      </c>
      <c r="C2" s="184"/>
      <c r="D2" s="184" t="s">
        <v>3</v>
      </c>
      <c r="E2" s="184"/>
      <c r="F2" s="184" t="s">
        <v>4</v>
      </c>
      <c r="G2" s="184"/>
      <c r="H2" s="184" t="s">
        <v>5</v>
      </c>
      <c r="I2" s="184"/>
      <c r="J2" s="184" t="s">
        <v>6</v>
      </c>
      <c r="K2" s="184"/>
      <c r="O2" s="185" t="s">
        <v>56</v>
      </c>
      <c r="P2" s="80" t="s">
        <v>57</v>
      </c>
      <c r="Q2" s="81" t="s">
        <v>58</v>
      </c>
      <c r="R2" s="81" t="s">
        <v>59</v>
      </c>
      <c r="S2" s="81" t="s">
        <v>60</v>
      </c>
      <c r="T2" s="81" t="s">
        <v>61</v>
      </c>
      <c r="V2" s="91" t="s">
        <v>62</v>
      </c>
      <c r="W2" s="25">
        <v>0.29049999999999998</v>
      </c>
    </row>
    <row r="3" spans="1:23" ht="12" thickBot="1">
      <c r="B3" s="30"/>
      <c r="C3" s="30"/>
      <c r="D3" s="30"/>
      <c r="E3" s="30"/>
      <c r="F3" s="30"/>
      <c r="G3" s="30"/>
      <c r="H3" s="30"/>
      <c r="I3" s="30"/>
      <c r="J3" s="30"/>
      <c r="K3" s="30"/>
      <c r="O3" s="186"/>
      <c r="P3" s="82">
        <v>212100</v>
      </c>
      <c r="Q3" s="83">
        <v>0</v>
      </c>
      <c r="R3" s="84">
        <f>$P$3*Q3</f>
        <v>0</v>
      </c>
      <c r="S3" s="84">
        <f>R3*$W$2</f>
        <v>0</v>
      </c>
      <c r="T3" s="84">
        <f>SUM(R3:S3)</f>
        <v>0</v>
      </c>
    </row>
    <row r="4" spans="1:23">
      <c r="A4" s="13" t="s">
        <v>63</v>
      </c>
      <c r="B4" s="30" t="s">
        <v>64</v>
      </c>
      <c r="C4" s="30" t="s">
        <v>65</v>
      </c>
      <c r="D4" s="30" t="s">
        <v>64</v>
      </c>
      <c r="E4" s="30" t="s">
        <v>65</v>
      </c>
      <c r="F4" s="30" t="s">
        <v>64</v>
      </c>
      <c r="G4" s="30" t="s">
        <v>65</v>
      </c>
      <c r="H4" s="30" t="s">
        <v>64</v>
      </c>
      <c r="I4" s="30" t="s">
        <v>65</v>
      </c>
      <c r="J4" s="30" t="s">
        <v>64</v>
      </c>
      <c r="K4" s="30" t="s">
        <v>65</v>
      </c>
      <c r="L4" s="30" t="s">
        <v>66</v>
      </c>
      <c r="O4" s="186"/>
      <c r="P4" s="85"/>
      <c r="Q4" s="83">
        <v>5.0000000000000001E-3</v>
      </c>
      <c r="R4" s="84">
        <f>$P$3*Q4</f>
        <v>1060.5</v>
      </c>
      <c r="S4" s="84">
        <f>R4*$W$2</f>
        <v>308.07524999999998</v>
      </c>
      <c r="T4" s="84">
        <f>SUM(R4:S4)</f>
        <v>1368.5752499999999</v>
      </c>
    </row>
    <row r="5" spans="1:23" ht="12" customHeight="1">
      <c r="A5" s="31" t="str">
        <f>A41</f>
        <v>Dr. Example</v>
      </c>
      <c r="B5" s="86">
        <v>0.05</v>
      </c>
      <c r="C5" s="51">
        <f>IF($D41&gt;$P$3,VLOOKUP(B5,$Q$3:$T$10,4),B5*$F41)</f>
        <v>13685.752499999999</v>
      </c>
      <c r="D5" s="87">
        <v>0</v>
      </c>
      <c r="E5" s="34">
        <f>IF($D41&gt;$P$3,VLOOKUP(D5,$Q$3:$T$10,4),D5*$F41)*(1+'Cost Summary'!$C$70)</f>
        <v>0</v>
      </c>
      <c r="F5" s="87">
        <v>0</v>
      </c>
      <c r="G5" s="34">
        <f>IF($D41&gt;$P$3,VLOOKUP(F5,$Q$3:$T$10,4),F5*$F41)*(1+'Cost Summary'!$C$70)^2</f>
        <v>0</v>
      </c>
      <c r="H5" s="87">
        <v>0</v>
      </c>
      <c r="I5" s="34">
        <f>IF($D41&gt;$P$3,VLOOKUP(H5,$Q$3:$T$10,4),H5*$F41)*(1+'Cost Summary'!$C$70)^3</f>
        <v>0</v>
      </c>
      <c r="J5" s="87">
        <v>0</v>
      </c>
      <c r="K5" s="34">
        <f>IF($D41&gt;$P$3,VLOOKUP(J5,$Q$3:$T$10,4),J5*$F41)*(1+'Cost Summary'!$C$70)^4</f>
        <v>0</v>
      </c>
      <c r="L5" s="34">
        <f>SUM(C5,E5,G5,I5,K5)</f>
        <v>13685.752499999999</v>
      </c>
      <c r="O5" s="186"/>
      <c r="P5" s="85"/>
      <c r="Q5" s="83">
        <v>0.01</v>
      </c>
      <c r="R5" s="84">
        <f t="shared" ref="R5:R10" si="0">$P$3*Q5</f>
        <v>2121</v>
      </c>
      <c r="S5" s="84">
        <f t="shared" ref="S5:S7" si="1">R5*$W$2</f>
        <v>616.15049999999997</v>
      </c>
      <c r="T5" s="84">
        <f t="shared" ref="T5:T7" si="2">SUM(R5:S5)</f>
        <v>2737.1504999999997</v>
      </c>
    </row>
    <row r="6" spans="1:23" ht="12" customHeight="1">
      <c r="A6" s="31" t="str">
        <f t="shared" ref="A5:A11" si="3">A42</f>
        <v>Justa Tech</v>
      </c>
      <c r="B6" s="86">
        <v>0.2</v>
      </c>
      <c r="C6" s="51">
        <f t="shared" ref="C6:C11" si="4">IF($D42&gt;$P$3,VLOOKUP(B6,$Q$3:$T$10,4),B6*$F42)</f>
        <v>16776.5</v>
      </c>
      <c r="D6" s="87">
        <v>0</v>
      </c>
      <c r="E6" s="34">
        <f>IF($D42&gt;$P$3,VLOOKUP(D6,$Q$3:$T$10,4),D6*$F42)*(1+'Cost Summary'!$C$70)</f>
        <v>0</v>
      </c>
      <c r="F6" s="87">
        <v>0</v>
      </c>
      <c r="G6" s="34">
        <f>IF($D42&gt;$P$3,VLOOKUP(F6,$Q$3:$T$10,4),F6*$F42)*(1+'Cost Summary'!$C$70)^2</f>
        <v>0</v>
      </c>
      <c r="H6" s="87">
        <v>0</v>
      </c>
      <c r="I6" s="34">
        <f>IF($D42&gt;$P$3,VLOOKUP(H6,$Q$3:$T$10,4),H6*$F42)*(1+'Cost Summary'!$C$70)^3</f>
        <v>0</v>
      </c>
      <c r="J6" s="87">
        <v>0</v>
      </c>
      <c r="K6" s="34">
        <f>IF($D42&gt;$P$3,VLOOKUP(J6,$Q$3:$T$10,4),J6*$F42)*(1+'Cost Summary'!$C$70)^4</f>
        <v>0</v>
      </c>
      <c r="L6" s="34">
        <f t="shared" ref="L6:L11" si="5">SUM(C6,E6,G6,I6,K6)</f>
        <v>16776.5</v>
      </c>
      <c r="O6" s="186"/>
      <c r="P6" s="85"/>
      <c r="Q6" s="83">
        <v>1.4999999999999999E-2</v>
      </c>
      <c r="R6" s="84">
        <f t="shared" si="0"/>
        <v>3181.5</v>
      </c>
      <c r="S6" s="84">
        <f t="shared" si="1"/>
        <v>924.22574999999995</v>
      </c>
      <c r="T6" s="84">
        <f t="shared" si="2"/>
        <v>4105.7257499999996</v>
      </c>
    </row>
    <row r="7" spans="1:23" ht="12" customHeight="1">
      <c r="A7" s="31">
        <f t="shared" si="3"/>
        <v>0</v>
      </c>
      <c r="B7" s="86">
        <v>0</v>
      </c>
      <c r="C7" s="51">
        <f t="shared" si="4"/>
        <v>0</v>
      </c>
      <c r="D7" s="87">
        <v>0</v>
      </c>
      <c r="E7" s="34">
        <f>IF($D43&gt;$P$3,VLOOKUP(D7,$Q$3:$T$10,4),D7*$F43)*(1+'Cost Summary'!$C$70)</f>
        <v>0</v>
      </c>
      <c r="F7" s="87">
        <v>0</v>
      </c>
      <c r="G7" s="34">
        <f>IF($D43&gt;$P$3,VLOOKUP(F7,$Q$3:$T$10,4),F7*$F43)*(1+'Cost Summary'!$C$70)^2</f>
        <v>0</v>
      </c>
      <c r="H7" s="87">
        <v>0</v>
      </c>
      <c r="I7" s="34">
        <f>IF($D43&gt;$P$3,VLOOKUP(H7,$Q$3:$T$10,4),H7*$F43)*(1+'Cost Summary'!$C$70)^3</f>
        <v>0</v>
      </c>
      <c r="J7" s="87">
        <v>0</v>
      </c>
      <c r="K7" s="34">
        <f>IF($D43&gt;$P$3,VLOOKUP(J7,$Q$3:$T$10,4),J7*$F43)*(1+'Cost Summary'!$C$70)^4</f>
        <v>0</v>
      </c>
      <c r="L7" s="34">
        <f t="shared" si="5"/>
        <v>0</v>
      </c>
      <c r="O7" s="186"/>
      <c r="P7" s="85"/>
      <c r="Q7" s="83">
        <v>0.02</v>
      </c>
      <c r="R7" s="84">
        <f t="shared" si="0"/>
        <v>4242</v>
      </c>
      <c r="S7" s="84">
        <f t="shared" si="1"/>
        <v>1232.3009999999999</v>
      </c>
      <c r="T7" s="84">
        <f t="shared" si="2"/>
        <v>5474.3009999999995</v>
      </c>
    </row>
    <row r="8" spans="1:23" ht="12" customHeight="1">
      <c r="A8" s="31">
        <f t="shared" si="3"/>
        <v>0</v>
      </c>
      <c r="B8" s="86">
        <v>0</v>
      </c>
      <c r="C8" s="51">
        <f t="shared" si="4"/>
        <v>0</v>
      </c>
      <c r="D8" s="87">
        <v>0</v>
      </c>
      <c r="E8" s="34">
        <f>IF($D44&gt;$P$3,VLOOKUP(D8,$Q$3:$T$10,4),D8*$F44)*(1+'Cost Summary'!$C$70)</f>
        <v>0</v>
      </c>
      <c r="F8" s="87">
        <v>0</v>
      </c>
      <c r="G8" s="34">
        <f>IF($D44&gt;$P$3,VLOOKUP(F8,$Q$3:$T$10,4),F8*$F44)*(1+'Cost Summary'!$C$70)^2</f>
        <v>0</v>
      </c>
      <c r="H8" s="87">
        <v>0</v>
      </c>
      <c r="I8" s="34">
        <f>IF($D44&gt;$P$3,VLOOKUP(H8,$Q$3:$T$10,4),H8*$F44)*(1+'Cost Summary'!$C$70)^3</f>
        <v>0</v>
      </c>
      <c r="J8" s="87">
        <v>0</v>
      </c>
      <c r="K8" s="34">
        <f>IF($D44&gt;$P$3,VLOOKUP(J8,$Q$3:$T$10,4),J8*$F44)*(1+'Cost Summary'!$C$70)^4</f>
        <v>0</v>
      </c>
      <c r="L8" s="34">
        <f t="shared" si="5"/>
        <v>0</v>
      </c>
      <c r="O8" s="186"/>
      <c r="P8" s="85"/>
      <c r="Q8" s="83">
        <v>0.03</v>
      </c>
      <c r="R8" s="84">
        <f>$P$3*Q8</f>
        <v>6363</v>
      </c>
      <c r="S8" s="84">
        <f>R8*$W$2</f>
        <v>1848.4514999999999</v>
      </c>
      <c r="T8" s="84">
        <f>SUM(R8:S8)</f>
        <v>8211.4514999999992</v>
      </c>
    </row>
    <row r="9" spans="1:23" ht="12" customHeight="1">
      <c r="A9" s="31">
        <f t="shared" si="3"/>
        <v>0</v>
      </c>
      <c r="B9" s="86">
        <v>0</v>
      </c>
      <c r="C9" s="51">
        <f t="shared" si="4"/>
        <v>0</v>
      </c>
      <c r="D9" s="87">
        <v>0</v>
      </c>
      <c r="E9" s="34">
        <f>IF($D45&gt;$P$3,VLOOKUP(D9,$Q$3:$T$10,4),D9*$F45)*(1+'Cost Summary'!$C$70)</f>
        <v>0</v>
      </c>
      <c r="F9" s="87">
        <v>0</v>
      </c>
      <c r="G9" s="34">
        <f>IF($D45&gt;$P$3,VLOOKUP(F9,$Q$3:$T$10,4),F9*$F45)*(1+'Cost Summary'!$C$70)^2</f>
        <v>0</v>
      </c>
      <c r="H9" s="87">
        <v>0</v>
      </c>
      <c r="I9" s="34">
        <f>IF($D45&gt;$P$3,VLOOKUP(H9,$Q$3:$T$10,4),H9*$F45)*(1+'Cost Summary'!$C$70)^3</f>
        <v>0</v>
      </c>
      <c r="J9" s="87">
        <v>0</v>
      </c>
      <c r="K9" s="34">
        <f>IF($D45&gt;$P$3,VLOOKUP(J9,$Q$3:$T$10,4),J9*$F45)*(1+'Cost Summary'!$C$70)^4</f>
        <v>0</v>
      </c>
      <c r="L9" s="34">
        <f t="shared" si="5"/>
        <v>0</v>
      </c>
      <c r="O9" s="186"/>
      <c r="P9" s="85"/>
      <c r="Q9" s="83">
        <v>0.05</v>
      </c>
      <c r="R9" s="84">
        <f t="shared" si="0"/>
        <v>10605</v>
      </c>
      <c r="S9" s="84">
        <f>R9*$W$2</f>
        <v>3080.7524999999996</v>
      </c>
      <c r="T9" s="84">
        <f>SUM(R9:S9)</f>
        <v>13685.752499999999</v>
      </c>
    </row>
    <row r="10" spans="1:23" ht="12" customHeight="1">
      <c r="A10" s="88">
        <f t="shared" si="3"/>
        <v>0</v>
      </c>
      <c r="B10" s="89">
        <v>0</v>
      </c>
      <c r="C10" s="51">
        <f t="shared" si="4"/>
        <v>0</v>
      </c>
      <c r="D10" s="152">
        <v>0</v>
      </c>
      <c r="E10" s="51">
        <f>IF($D46&gt;$P$3,VLOOKUP(D10,$Q$3:$T$10,4),D10*$F46)*(1+'Cost Summary'!$C$70)</f>
        <v>0</v>
      </c>
      <c r="F10" s="152">
        <v>0</v>
      </c>
      <c r="G10" s="51">
        <f>IF($D46&gt;$P$3,VLOOKUP(F10,$Q$3:$T$10,4),F10*$F46)*(1+'Cost Summary'!$C$70)^2</f>
        <v>0</v>
      </c>
      <c r="H10" s="152">
        <v>0</v>
      </c>
      <c r="I10" s="51">
        <f>IF($D46&gt;$P$3,VLOOKUP(H10,$Q$3:$T$10,4),H10*$F46)*(1+'Cost Summary'!$C$70)^3</f>
        <v>0</v>
      </c>
      <c r="J10" s="152">
        <v>0</v>
      </c>
      <c r="K10" s="51">
        <f>IF($D46&gt;$P$3,VLOOKUP(J10,$Q$3:$T$10,4),J10*$F46)*(1+'Cost Summary'!$C$70)^4</f>
        <v>0</v>
      </c>
      <c r="L10" s="51">
        <f t="shared" si="5"/>
        <v>0</v>
      </c>
      <c r="O10" s="187"/>
      <c r="P10" s="90"/>
      <c r="Q10" s="83">
        <v>0.1</v>
      </c>
      <c r="R10" s="84">
        <f t="shared" si="0"/>
        <v>21210</v>
      </c>
      <c r="S10" s="84">
        <f>R10*$W$2</f>
        <v>6161.5049999999992</v>
      </c>
      <c r="T10" s="84">
        <f>SUM(R10:S10)</f>
        <v>27371.504999999997</v>
      </c>
    </row>
    <row r="11" spans="1:23" ht="12" customHeight="1">
      <c r="A11" s="148">
        <f t="shared" si="3"/>
        <v>0</v>
      </c>
      <c r="B11" s="149">
        <v>0</v>
      </c>
      <c r="C11" s="150">
        <f t="shared" si="4"/>
        <v>0</v>
      </c>
      <c r="D11" s="151">
        <v>0</v>
      </c>
      <c r="E11" s="150">
        <f>IF($D47&gt;$P$3,VLOOKUP(D11,$Q$3:$T$10,4),D11*$F47)*(1+'Cost Summary'!$C$70)</f>
        <v>0</v>
      </c>
      <c r="F11" s="151">
        <v>0</v>
      </c>
      <c r="G11" s="150">
        <f>IF($D47&gt;$P$3,VLOOKUP(F11,$Q$3:$T$10,4),F11*$F47)*(1+'Cost Summary'!$C$70)^2</f>
        <v>0</v>
      </c>
      <c r="H11" s="151">
        <v>0</v>
      </c>
      <c r="I11" s="150">
        <f>IF($D47&gt;$P$3,VLOOKUP(H11,$Q$3:$T$10,4),H11*$F47)*(1+'Cost Summary'!$C$70)^3</f>
        <v>0</v>
      </c>
      <c r="J11" s="151">
        <v>0</v>
      </c>
      <c r="K11" s="150">
        <f>IF($D47&gt;$P$3,VLOOKUP(J11,$Q$3:$T$10,4),J11*$F47)*(1+'Cost Summary'!$C$70)^4</f>
        <v>0</v>
      </c>
      <c r="L11" s="150">
        <f t="shared" si="5"/>
        <v>0</v>
      </c>
    </row>
    <row r="12" spans="1:23" ht="12" customHeight="1">
      <c r="A12" s="73"/>
      <c r="B12" s="73"/>
      <c r="C12" s="45">
        <f>SUM(C5:C11)</f>
        <v>30462.252499999999</v>
      </c>
      <c r="D12" s="73"/>
      <c r="E12" s="45">
        <f>SUM(E5:E11)</f>
        <v>0</v>
      </c>
      <c r="F12" s="73"/>
      <c r="G12" s="45">
        <f>SUM(G5:G11)</f>
        <v>0</v>
      </c>
      <c r="H12" s="73"/>
      <c r="I12" s="45">
        <f>SUM(I5:I11)</f>
        <v>0</v>
      </c>
      <c r="J12" s="73"/>
      <c r="K12" s="45">
        <f>SUM(K5:K11)</f>
        <v>0</v>
      </c>
      <c r="L12" s="45">
        <f>SUM(L5:L11)</f>
        <v>30462.252499999999</v>
      </c>
      <c r="T12" s="4"/>
    </row>
    <row r="13" spans="1:23" ht="12" customHeight="1" thickBot="1">
      <c r="O13" s="175" t="s">
        <v>67</v>
      </c>
      <c r="P13" s="176"/>
      <c r="Q13" s="177"/>
      <c r="S13" s="91" t="s">
        <v>68</v>
      </c>
    </row>
    <row r="14" spans="1:23" ht="12" customHeight="1" thickBot="1">
      <c r="A14" s="178" t="s">
        <v>69</v>
      </c>
      <c r="B14" s="179"/>
      <c r="C14" s="179"/>
      <c r="D14" s="179"/>
      <c r="E14" s="179"/>
      <c r="F14" s="179"/>
      <c r="G14" s="179"/>
      <c r="H14" s="179"/>
      <c r="I14" s="179"/>
      <c r="J14" s="179"/>
      <c r="K14" s="179"/>
      <c r="L14" s="180"/>
      <c r="O14" s="91" t="s">
        <v>70</v>
      </c>
      <c r="P14" s="91" t="s">
        <v>71</v>
      </c>
      <c r="Q14" s="92" t="s">
        <v>72</v>
      </c>
      <c r="S14" s="91" t="s">
        <v>73</v>
      </c>
    </row>
    <row r="15" spans="1:23" ht="12" customHeight="1">
      <c r="A15" s="93" t="str">
        <f>A5</f>
        <v>Dr. Example</v>
      </c>
      <c r="B15" s="94">
        <f>B5</f>
        <v>0.05</v>
      </c>
      <c r="C15" s="95">
        <f>IF($D41&gt;$P$3,B15*$F41,0)</f>
        <v>19357.5</v>
      </c>
      <c r="D15" s="94">
        <f>D5</f>
        <v>0</v>
      </c>
      <c r="E15" s="95">
        <f>IF($D41&gt;$P$3,D15*$F41,0)*(1+'Cost Summary'!$C$70)</f>
        <v>0</v>
      </c>
      <c r="F15" s="94">
        <f>F5</f>
        <v>0</v>
      </c>
      <c r="G15" s="95">
        <f>IF($D41&gt;$P$3,F15*$F41,0)*(1+'Cost Summary'!$C$70)^2</f>
        <v>0</v>
      </c>
      <c r="H15" s="94">
        <f>H5</f>
        <v>0</v>
      </c>
      <c r="I15" s="95">
        <f>IF($D41&gt;$P$3,H15*$F41,0)*(1+'Cost Summary'!$C$70)^3</f>
        <v>0</v>
      </c>
      <c r="J15" s="94">
        <f>J5</f>
        <v>0</v>
      </c>
      <c r="K15" s="95">
        <f>IF($D41&gt;$P$3,J15*$F41,0)*(1+'Cost Summary'!$C$70)^4</f>
        <v>0</v>
      </c>
      <c r="L15" s="95">
        <f t="shared" ref="L15:L22" si="6">SUM(C15,E15,G15,I15,K15)</f>
        <v>19357.5</v>
      </c>
      <c r="O15" s="96">
        <v>1</v>
      </c>
      <c r="P15" s="97">
        <f>O15/1</f>
        <v>1</v>
      </c>
      <c r="Q15" s="98">
        <v>2080</v>
      </c>
      <c r="S15" s="99">
        <f>$P$3/Q15</f>
        <v>101.97115384615384</v>
      </c>
    </row>
    <row r="16" spans="1:23" ht="12" customHeight="1">
      <c r="A16" s="93" t="str">
        <f t="shared" ref="A16:B17" si="7">A6</f>
        <v>Justa Tech</v>
      </c>
      <c r="B16" s="94">
        <f t="shared" si="7"/>
        <v>0.2</v>
      </c>
      <c r="C16" s="95">
        <f t="shared" ref="C16:C22" si="8">IF($D42&gt;$P$3,B16*$F42,0)</f>
        <v>0</v>
      </c>
      <c r="D16" s="94">
        <f t="shared" ref="D16:D17" si="9">D6</f>
        <v>0</v>
      </c>
      <c r="E16" s="95">
        <f>IF($D42&gt;$P$3,D16*$F42,0)*(1+'Cost Summary'!$C$70)</f>
        <v>0</v>
      </c>
      <c r="F16" s="94">
        <f t="shared" ref="F16:F18" si="10">F6</f>
        <v>0</v>
      </c>
      <c r="G16" s="95">
        <f>IF($D42&gt;$P$3,F16*$F42,0)*(1+'Cost Summary'!$C$70)^2</f>
        <v>0</v>
      </c>
      <c r="H16" s="94">
        <f t="shared" ref="H16:H18" si="11">H6</f>
        <v>0</v>
      </c>
      <c r="I16" s="95">
        <f>IF($D42&gt;$P$3,H16*$F42,0)*(1+'Cost Summary'!$C$70)^3</f>
        <v>0</v>
      </c>
      <c r="J16" s="94">
        <f t="shared" ref="J16:J20" si="12">J6</f>
        <v>0</v>
      </c>
      <c r="K16" s="95">
        <f>IF($D42&gt;$P$3,J16*$F42,0)*(1+'Cost Summary'!$C$70)^4</f>
        <v>0</v>
      </c>
      <c r="L16" s="95">
        <f t="shared" si="6"/>
        <v>0</v>
      </c>
      <c r="O16" s="96"/>
      <c r="P16" s="97"/>
      <c r="Q16" s="98"/>
      <c r="S16" s="99"/>
    </row>
    <row r="17" spans="1:19" ht="12" customHeight="1">
      <c r="A17" s="93">
        <f t="shared" si="7"/>
        <v>0</v>
      </c>
      <c r="B17" s="94">
        <f t="shared" si="7"/>
        <v>0</v>
      </c>
      <c r="C17" s="95">
        <f t="shared" si="8"/>
        <v>0</v>
      </c>
      <c r="D17" s="94">
        <f t="shared" si="9"/>
        <v>0</v>
      </c>
      <c r="E17" s="95">
        <f>IF($D43&gt;$P$3,D17*$F43,0)*(1+'Cost Summary'!$C$70)</f>
        <v>0</v>
      </c>
      <c r="F17" s="94">
        <f t="shared" si="10"/>
        <v>0</v>
      </c>
      <c r="G17" s="95">
        <f>IF($D43&gt;$P$3,F17*$F43,0)*(1+'Cost Summary'!$C$70)^2</f>
        <v>0</v>
      </c>
      <c r="H17" s="94">
        <f t="shared" si="11"/>
        <v>0</v>
      </c>
      <c r="I17" s="95">
        <f>IF($D43&gt;$P$3,H17*$F43,0)*(1+'Cost Summary'!$C$70)^3</f>
        <v>0</v>
      </c>
      <c r="J17" s="94">
        <f t="shared" si="12"/>
        <v>0</v>
      </c>
      <c r="K17" s="95">
        <f>IF($D43&gt;$P$3,J17*$F43,0)*(1+'Cost Summary'!$C$70)^4</f>
        <v>0</v>
      </c>
      <c r="L17" s="95">
        <f t="shared" si="6"/>
        <v>0</v>
      </c>
      <c r="O17" s="100">
        <v>0.9</v>
      </c>
      <c r="P17" s="97">
        <f t="shared" ref="P17:P28" si="13">O17/1</f>
        <v>0.9</v>
      </c>
      <c r="Q17" s="101">
        <f>$Q$15*P17</f>
        <v>1872</v>
      </c>
      <c r="S17" s="102">
        <f t="shared" ref="S17:S28" si="14">$P$3/Q17</f>
        <v>113.30128205128206</v>
      </c>
    </row>
    <row r="18" spans="1:19" ht="12" customHeight="1">
      <c r="A18" s="93">
        <f>A7</f>
        <v>0</v>
      </c>
      <c r="B18" s="94">
        <f t="shared" ref="A18:B22" si="15">B7</f>
        <v>0</v>
      </c>
      <c r="C18" s="95">
        <f t="shared" si="8"/>
        <v>0</v>
      </c>
      <c r="D18" s="94">
        <f t="shared" ref="D18" si="16">D7</f>
        <v>0</v>
      </c>
      <c r="E18" s="95">
        <f>IF($D44&gt;$P$3,D18*$F44,0)*(1+'Cost Summary'!$C$70)</f>
        <v>0</v>
      </c>
      <c r="F18" s="94">
        <f t="shared" si="10"/>
        <v>0</v>
      </c>
      <c r="G18" s="95">
        <f>IF($D44&gt;$P$3,F18*$F44,0)*(1+'Cost Summary'!$C$70)^2</f>
        <v>0</v>
      </c>
      <c r="H18" s="94">
        <f t="shared" si="11"/>
        <v>0</v>
      </c>
      <c r="I18" s="95">
        <f>IF($D44&gt;$P$3,H18*$F44,0)*(1+'Cost Summary'!$C$70)^3</f>
        <v>0</v>
      </c>
      <c r="J18" s="94">
        <f t="shared" si="12"/>
        <v>0</v>
      </c>
      <c r="K18" s="95">
        <f>IF($D44&gt;$P$3,J18*$F44,0)*(1+'Cost Summary'!$C$70)^4</f>
        <v>0</v>
      </c>
      <c r="L18" s="95">
        <f t="shared" si="6"/>
        <v>0</v>
      </c>
      <c r="O18" s="100">
        <v>0.85</v>
      </c>
      <c r="P18" s="97">
        <f t="shared" si="13"/>
        <v>0.85</v>
      </c>
      <c r="Q18" s="101">
        <f t="shared" ref="Q18:Q26" si="17">$Q$15*P18</f>
        <v>1768</v>
      </c>
      <c r="S18" s="102">
        <f t="shared" si="14"/>
        <v>119.96606334841628</v>
      </c>
    </row>
    <row r="19" spans="1:19" ht="12" customHeight="1">
      <c r="A19" s="93">
        <f t="shared" si="15"/>
        <v>0</v>
      </c>
      <c r="B19" s="94">
        <f t="shared" si="15"/>
        <v>0</v>
      </c>
      <c r="C19" s="95">
        <f t="shared" si="8"/>
        <v>0</v>
      </c>
      <c r="D19" s="94">
        <f t="shared" ref="D19" si="18">D8</f>
        <v>0</v>
      </c>
      <c r="E19" s="95">
        <f>IF($D45&gt;$P$3,D19*$F45,0)*(1+'Cost Summary'!$C$70)</f>
        <v>0</v>
      </c>
      <c r="F19" s="94">
        <f t="shared" ref="F19" si="19">F8</f>
        <v>0</v>
      </c>
      <c r="G19" s="95">
        <f>IF($D45&gt;$P$3,F19*$F45,0)*(1+'Cost Summary'!$C$70)^2</f>
        <v>0</v>
      </c>
      <c r="H19" s="94">
        <f t="shared" ref="H19" si="20">H8</f>
        <v>0</v>
      </c>
      <c r="I19" s="95">
        <f>IF($D45&gt;$P$3,H19*$F45,0)*(1+'Cost Summary'!$C$70)^3</f>
        <v>0</v>
      </c>
      <c r="J19" s="94">
        <f t="shared" si="12"/>
        <v>0</v>
      </c>
      <c r="K19" s="95">
        <f>IF($D45&gt;$P$3,J19*$F45,0)*(1+'Cost Summary'!$C$70)^4</f>
        <v>0</v>
      </c>
      <c r="L19" s="95">
        <f t="shared" si="6"/>
        <v>0</v>
      </c>
      <c r="O19" s="100">
        <v>0.8</v>
      </c>
      <c r="P19" s="97">
        <f t="shared" si="13"/>
        <v>0.8</v>
      </c>
      <c r="Q19" s="101">
        <f t="shared" si="17"/>
        <v>1664</v>
      </c>
      <c r="S19" s="102">
        <f t="shared" si="14"/>
        <v>127.46394230769231</v>
      </c>
    </row>
    <row r="20" spans="1:19" ht="12" customHeight="1">
      <c r="A20" s="93">
        <f t="shared" si="15"/>
        <v>0</v>
      </c>
      <c r="B20" s="94">
        <f t="shared" si="15"/>
        <v>0</v>
      </c>
      <c r="C20" s="95">
        <f t="shared" si="8"/>
        <v>0</v>
      </c>
      <c r="D20" s="94">
        <f t="shared" ref="D20" si="21">D9</f>
        <v>0</v>
      </c>
      <c r="E20" s="95">
        <f>IF($D46&gt;$P$3,D20*$F46,0)*(1+'Cost Summary'!$C$70)</f>
        <v>0</v>
      </c>
      <c r="F20" s="94">
        <f t="shared" ref="F20" si="22">F9</f>
        <v>0</v>
      </c>
      <c r="G20" s="95">
        <f>IF($D46&gt;$P$3,F20*$F46,0)*(1+'Cost Summary'!$C$70)^2</f>
        <v>0</v>
      </c>
      <c r="H20" s="94">
        <f t="shared" ref="H20" si="23">H9</f>
        <v>0</v>
      </c>
      <c r="I20" s="95">
        <f>IF($D46&gt;$P$3,H20*$F46,0)*(1+'Cost Summary'!$C$70)^3</f>
        <v>0</v>
      </c>
      <c r="J20" s="94">
        <f t="shared" si="12"/>
        <v>0</v>
      </c>
      <c r="K20" s="95">
        <f>IF($D46&gt;$P$3,J20*$F46,0)*(1+'Cost Summary'!$C$70)^4</f>
        <v>0</v>
      </c>
      <c r="L20" s="95">
        <f t="shared" si="6"/>
        <v>0</v>
      </c>
      <c r="O20" s="100">
        <v>0.75</v>
      </c>
      <c r="P20" s="97">
        <f t="shared" si="13"/>
        <v>0.75</v>
      </c>
      <c r="Q20" s="101">
        <f t="shared" si="17"/>
        <v>1560</v>
      </c>
      <c r="S20" s="102">
        <f t="shared" si="14"/>
        <v>135.96153846153845</v>
      </c>
    </row>
    <row r="21" spans="1:19" ht="12" customHeight="1">
      <c r="A21" s="156">
        <f t="shared" si="15"/>
        <v>0</v>
      </c>
      <c r="B21" s="157">
        <f t="shared" si="15"/>
        <v>0</v>
      </c>
      <c r="C21" s="158">
        <f t="shared" si="8"/>
        <v>0</v>
      </c>
      <c r="D21" s="157">
        <f t="shared" ref="D21" si="24">D10</f>
        <v>0</v>
      </c>
      <c r="E21" s="158">
        <f>IF($D47&gt;$P$3,D21*$F47,0)*(1+'Cost Summary'!$C$70)</f>
        <v>0</v>
      </c>
      <c r="F21" s="157">
        <f t="shared" ref="F21" si="25">F10</f>
        <v>0</v>
      </c>
      <c r="G21" s="158">
        <f>IF($D47&gt;$P$3,F21*$F47,0)*(1+'Cost Summary'!$C$70)^2</f>
        <v>0</v>
      </c>
      <c r="H21" s="157">
        <f t="shared" ref="H21" si="26">H10</f>
        <v>0</v>
      </c>
      <c r="I21" s="158">
        <f>IF($D47&gt;$P$3,H21*$F47,0)*(1+'Cost Summary'!$C$70)^3</f>
        <v>0</v>
      </c>
      <c r="J21" s="157">
        <f t="shared" ref="J21" si="27">J10</f>
        <v>0</v>
      </c>
      <c r="K21" s="158">
        <f>IF($D47&gt;$P$3,J21*$F47,0)*(1+'Cost Summary'!$C$70)^4</f>
        <v>0</v>
      </c>
      <c r="L21" s="158">
        <f t="shared" si="6"/>
        <v>0</v>
      </c>
      <c r="O21" s="100">
        <v>0.6</v>
      </c>
      <c r="P21" s="97">
        <f t="shared" si="13"/>
        <v>0.6</v>
      </c>
      <c r="Q21" s="101">
        <f t="shared" si="17"/>
        <v>1248</v>
      </c>
      <c r="S21" s="102">
        <f t="shared" si="14"/>
        <v>169.95192307692307</v>
      </c>
    </row>
    <row r="22" spans="1:19" ht="12" customHeight="1">
      <c r="A22" s="153">
        <f t="shared" si="15"/>
        <v>0</v>
      </c>
      <c r="B22" s="154">
        <f t="shared" si="15"/>
        <v>0</v>
      </c>
      <c r="C22" s="155">
        <f t="shared" si="8"/>
        <v>0</v>
      </c>
      <c r="D22" s="154">
        <f t="shared" ref="D22" si="28">D11</f>
        <v>0</v>
      </c>
      <c r="E22" s="155">
        <f>IF($D48&gt;$P$3,D22*$F48,0)*(1+'Cost Summary'!$C$70)</f>
        <v>0</v>
      </c>
      <c r="F22" s="154">
        <f t="shared" ref="F22" si="29">F11</f>
        <v>0</v>
      </c>
      <c r="G22" s="155">
        <f>IF($D48&gt;$P$3,F22*$F48,0)*(1+'Cost Summary'!$C$70)^2</f>
        <v>0</v>
      </c>
      <c r="H22" s="154">
        <f t="shared" ref="H22" si="30">H11</f>
        <v>0</v>
      </c>
      <c r="I22" s="155">
        <f>IF($D48&gt;$P$3,H22*$F48,0)*(1+'Cost Summary'!$C$70)^3</f>
        <v>0</v>
      </c>
      <c r="J22" s="154">
        <f t="shared" ref="J22" si="31">J11</f>
        <v>0</v>
      </c>
      <c r="K22" s="155">
        <f>IF($D48&gt;$P$3,J22*$F48,0)*(1+'Cost Summary'!$C$70)^4</f>
        <v>0</v>
      </c>
      <c r="L22" s="155">
        <f t="shared" si="6"/>
        <v>0</v>
      </c>
      <c r="O22" s="100">
        <v>0.5</v>
      </c>
      <c r="P22" s="97">
        <f t="shared" si="13"/>
        <v>0.5</v>
      </c>
      <c r="Q22" s="101">
        <f t="shared" si="17"/>
        <v>1040</v>
      </c>
      <c r="S22" s="102">
        <f t="shared" si="14"/>
        <v>203.94230769230768</v>
      </c>
    </row>
    <row r="23" spans="1:19" ht="12" customHeight="1">
      <c r="A23" s="165"/>
      <c r="B23" s="166"/>
      <c r="C23" s="166">
        <f>SUM(C15:C22)</f>
        <v>19357.5</v>
      </c>
      <c r="D23" s="166"/>
      <c r="E23" s="166">
        <f>SUM(E15:E22)</f>
        <v>0</v>
      </c>
      <c r="F23" s="166"/>
      <c r="G23" s="166">
        <f>SUM(G15:G22)</f>
        <v>0</v>
      </c>
      <c r="H23" s="166"/>
      <c r="I23" s="166">
        <f>SUM(I15:I22)</f>
        <v>0</v>
      </c>
      <c r="J23" s="166"/>
      <c r="K23" s="166">
        <f>SUM(K15:K22)</f>
        <v>0</v>
      </c>
      <c r="L23" s="166">
        <f>SUM(L15:L22)</f>
        <v>19357.5</v>
      </c>
      <c r="O23" s="100">
        <v>0.4</v>
      </c>
      <c r="P23" s="97">
        <f t="shared" si="13"/>
        <v>0.4</v>
      </c>
      <c r="Q23" s="101">
        <f t="shared" si="17"/>
        <v>832</v>
      </c>
      <c r="S23" s="102">
        <f t="shared" si="14"/>
        <v>254.92788461538461</v>
      </c>
    </row>
    <row r="24" spans="1:19" ht="12" customHeight="1" thickBot="1">
      <c r="O24" s="100">
        <v>0.3</v>
      </c>
      <c r="P24" s="97">
        <f t="shared" si="13"/>
        <v>0.3</v>
      </c>
      <c r="Q24" s="101">
        <f t="shared" si="17"/>
        <v>624</v>
      </c>
      <c r="S24" s="102">
        <f t="shared" si="14"/>
        <v>339.90384615384613</v>
      </c>
    </row>
    <row r="25" spans="1:19" ht="12" customHeight="1" thickBot="1">
      <c r="A25" s="181" t="s">
        <v>74</v>
      </c>
      <c r="B25" s="182"/>
      <c r="C25" s="182"/>
      <c r="D25" s="182"/>
      <c r="E25" s="182"/>
      <c r="F25" s="182"/>
      <c r="G25" s="182"/>
      <c r="H25" s="182"/>
      <c r="I25" s="182"/>
      <c r="J25" s="182"/>
      <c r="K25" s="182"/>
      <c r="L25" s="183"/>
      <c r="O25" s="100">
        <v>0.2</v>
      </c>
      <c r="P25" s="97">
        <f t="shared" si="13"/>
        <v>0.2</v>
      </c>
      <c r="Q25" s="101">
        <f t="shared" si="17"/>
        <v>416</v>
      </c>
      <c r="S25" s="102">
        <f t="shared" si="14"/>
        <v>509.85576923076923</v>
      </c>
    </row>
    <row r="26" spans="1:19" ht="12" customHeight="1">
      <c r="A26" s="103" t="str">
        <f>A5</f>
        <v>Dr. Example</v>
      </c>
      <c r="B26" s="104"/>
      <c r="C26" s="105">
        <f>IF(C15-C5&gt;0,C15-C5,0)</f>
        <v>5671.7475000000013</v>
      </c>
      <c r="D26" s="106"/>
      <c r="E26" s="105">
        <f>IF(E15-E5&gt;0,E15-E5,0)</f>
        <v>0</v>
      </c>
      <c r="F26" s="106"/>
      <c r="G26" s="105">
        <f>IF(G15-G5&gt;0,G15-G5,0)</f>
        <v>0</v>
      </c>
      <c r="H26" s="106"/>
      <c r="I26" s="105">
        <f>IF(I15-I5&gt;0,I15-I5,0)</f>
        <v>0</v>
      </c>
      <c r="J26" s="106"/>
      <c r="K26" s="105">
        <f>IF(K15-K5&gt;0,K15-K5,0)</f>
        <v>0</v>
      </c>
      <c r="L26" s="105">
        <f>SUM(C26,E26,G26,I26,K26)</f>
        <v>5671.7475000000013</v>
      </c>
      <c r="O26" s="100">
        <v>0.1</v>
      </c>
      <c r="P26" s="97">
        <f t="shared" si="13"/>
        <v>0.1</v>
      </c>
      <c r="Q26" s="101">
        <f t="shared" si="17"/>
        <v>208</v>
      </c>
      <c r="S26" s="102">
        <f t="shared" si="14"/>
        <v>1019.7115384615385</v>
      </c>
    </row>
    <row r="27" spans="1:19" ht="12" customHeight="1">
      <c r="A27" s="103" t="str">
        <f t="shared" ref="A27:A32" si="32">A6</f>
        <v>Justa Tech</v>
      </c>
      <c r="B27" s="107"/>
      <c r="C27" s="105">
        <f t="shared" ref="C27:C32" si="33">IF(C16-C6&gt;0,C16-C6,0)</f>
        <v>0</v>
      </c>
      <c r="D27" s="108"/>
      <c r="E27" s="105">
        <f t="shared" ref="E27:E32" si="34">IF(E16-E6&gt;0,E16-E6,0)</f>
        <v>0</v>
      </c>
      <c r="F27" s="108"/>
      <c r="G27" s="105">
        <f t="shared" ref="G27:G32" si="35">IF(G16-G6&gt;0,G16-G6,0)</f>
        <v>0</v>
      </c>
      <c r="H27" s="108"/>
      <c r="I27" s="105">
        <f t="shared" ref="I27:I32" si="36">IF(I16-I6&gt;0,I16-I6,0)</f>
        <v>0</v>
      </c>
      <c r="J27" s="108"/>
      <c r="K27" s="105">
        <f t="shared" ref="K27:K32" si="37">IF(K16-K6&gt;0,K16-K6,0)</f>
        <v>0</v>
      </c>
      <c r="L27" s="105">
        <f t="shared" ref="L27:L32" si="38">SUM(C27,E27,G27,I27,K27)</f>
        <v>0</v>
      </c>
      <c r="O27" s="100">
        <v>0.05</v>
      </c>
      <c r="P27" s="97">
        <f t="shared" si="13"/>
        <v>0.05</v>
      </c>
      <c r="Q27" s="101">
        <f t="shared" ref="Q27:Q28" si="39">$Q$15*P27</f>
        <v>104</v>
      </c>
      <c r="S27" s="102">
        <f t="shared" si="14"/>
        <v>2039.4230769230769</v>
      </c>
    </row>
    <row r="28" spans="1:19" ht="12" customHeight="1">
      <c r="A28" s="103">
        <f t="shared" si="32"/>
        <v>0</v>
      </c>
      <c r="B28" s="107"/>
      <c r="C28" s="105">
        <f t="shared" si="33"/>
        <v>0</v>
      </c>
      <c r="D28" s="108"/>
      <c r="E28" s="105">
        <f t="shared" si="34"/>
        <v>0</v>
      </c>
      <c r="F28" s="108"/>
      <c r="G28" s="105">
        <f t="shared" si="35"/>
        <v>0</v>
      </c>
      <c r="H28" s="108"/>
      <c r="I28" s="105">
        <f t="shared" si="36"/>
        <v>0</v>
      </c>
      <c r="J28" s="108"/>
      <c r="K28" s="105">
        <f t="shared" si="37"/>
        <v>0</v>
      </c>
      <c r="L28" s="105">
        <f t="shared" si="38"/>
        <v>0</v>
      </c>
      <c r="O28" s="100">
        <v>0.01</v>
      </c>
      <c r="P28" s="97">
        <f t="shared" si="13"/>
        <v>0.01</v>
      </c>
      <c r="Q28" s="101">
        <f t="shared" si="39"/>
        <v>20.8</v>
      </c>
      <c r="S28" s="102">
        <f t="shared" si="14"/>
        <v>10197.115384615385</v>
      </c>
    </row>
    <row r="29" spans="1:19" ht="12" customHeight="1">
      <c r="A29" s="103">
        <f t="shared" si="32"/>
        <v>0</v>
      </c>
      <c r="B29" s="107"/>
      <c r="C29" s="105">
        <f t="shared" si="33"/>
        <v>0</v>
      </c>
      <c r="D29" s="108"/>
      <c r="E29" s="105">
        <f t="shared" si="34"/>
        <v>0</v>
      </c>
      <c r="F29" s="108"/>
      <c r="G29" s="105">
        <f t="shared" si="35"/>
        <v>0</v>
      </c>
      <c r="H29" s="108"/>
      <c r="I29" s="105">
        <f t="shared" si="36"/>
        <v>0</v>
      </c>
      <c r="J29" s="108"/>
      <c r="K29" s="105">
        <f t="shared" si="37"/>
        <v>0</v>
      </c>
      <c r="L29" s="105">
        <f t="shared" si="38"/>
        <v>0</v>
      </c>
    </row>
    <row r="30" spans="1:19" ht="12" customHeight="1">
      <c r="A30" s="103">
        <f t="shared" si="32"/>
        <v>0</v>
      </c>
      <c r="B30" s="107"/>
      <c r="C30" s="105">
        <f t="shared" si="33"/>
        <v>0</v>
      </c>
      <c r="D30" s="108"/>
      <c r="E30" s="105">
        <f t="shared" si="34"/>
        <v>0</v>
      </c>
      <c r="F30" s="108"/>
      <c r="G30" s="105">
        <f t="shared" si="35"/>
        <v>0</v>
      </c>
      <c r="H30" s="108"/>
      <c r="I30" s="105">
        <f t="shared" si="36"/>
        <v>0</v>
      </c>
      <c r="J30" s="108"/>
      <c r="K30" s="105">
        <f t="shared" si="37"/>
        <v>0</v>
      </c>
      <c r="L30" s="105">
        <f t="shared" si="38"/>
        <v>0</v>
      </c>
    </row>
    <row r="31" spans="1:19" ht="12" customHeight="1">
      <c r="A31" s="163">
        <f t="shared" si="32"/>
        <v>0</v>
      </c>
      <c r="B31" s="107"/>
      <c r="C31" s="164">
        <f t="shared" si="33"/>
        <v>0</v>
      </c>
      <c r="D31" s="108"/>
      <c r="E31" s="164">
        <f t="shared" si="34"/>
        <v>0</v>
      </c>
      <c r="F31" s="108"/>
      <c r="G31" s="164">
        <f t="shared" si="35"/>
        <v>0</v>
      </c>
      <c r="H31" s="108"/>
      <c r="I31" s="164">
        <f t="shared" si="36"/>
        <v>0</v>
      </c>
      <c r="J31" s="108"/>
      <c r="K31" s="164">
        <f t="shared" si="37"/>
        <v>0</v>
      </c>
      <c r="L31" s="164">
        <f t="shared" si="38"/>
        <v>0</v>
      </c>
    </row>
    <row r="32" spans="1:19" ht="12" customHeight="1">
      <c r="A32" s="159">
        <f t="shared" si="32"/>
        <v>0</v>
      </c>
      <c r="B32" s="160"/>
      <c r="C32" s="161">
        <f t="shared" si="33"/>
        <v>0</v>
      </c>
      <c r="D32" s="162"/>
      <c r="E32" s="161">
        <f t="shared" si="34"/>
        <v>0</v>
      </c>
      <c r="F32" s="162"/>
      <c r="G32" s="161">
        <f t="shared" si="35"/>
        <v>0</v>
      </c>
      <c r="H32" s="162"/>
      <c r="I32" s="161">
        <f t="shared" si="36"/>
        <v>0</v>
      </c>
      <c r="J32" s="162"/>
      <c r="K32" s="161">
        <f t="shared" si="37"/>
        <v>0</v>
      </c>
      <c r="L32" s="161">
        <f t="shared" si="38"/>
        <v>0</v>
      </c>
    </row>
    <row r="33" spans="1:26" ht="12" customHeight="1">
      <c r="A33" s="167"/>
      <c r="B33" s="167"/>
      <c r="C33" s="168">
        <f>SUM(C26:C32)</f>
        <v>5671.7475000000013</v>
      </c>
      <c r="D33" s="168"/>
      <c r="E33" s="168">
        <f>SUM(E26:E32)</f>
        <v>0</v>
      </c>
      <c r="F33" s="168"/>
      <c r="G33" s="168">
        <f>SUM(G26:G32)</f>
        <v>0</v>
      </c>
      <c r="H33" s="168"/>
      <c r="I33" s="168">
        <f>SUM(I26:I32)</f>
        <v>0</v>
      </c>
      <c r="J33" s="168"/>
      <c r="K33" s="168">
        <f>SUM(K26:K32)</f>
        <v>0</v>
      </c>
      <c r="L33" s="168">
        <f>SUM(L26:L32)</f>
        <v>5671.7475000000013</v>
      </c>
    </row>
    <row r="34" spans="1:26" ht="12" customHeight="1"/>
    <row r="35" spans="1:26" ht="12" customHeight="1"/>
    <row r="36" spans="1:26" ht="12" customHeight="1"/>
    <row r="37" spans="1:26" ht="12" customHeight="1"/>
    <row r="38" spans="1:26" ht="12" customHeight="1"/>
    <row r="39" spans="1:26" ht="12" customHeight="1">
      <c r="H39" s="1" t="s">
        <v>2</v>
      </c>
      <c r="L39" s="1" t="s">
        <v>3</v>
      </c>
      <c r="P39" s="1" t="s">
        <v>4</v>
      </c>
      <c r="T39" s="1" t="s">
        <v>5</v>
      </c>
      <c r="X39" s="1" t="s">
        <v>6</v>
      </c>
    </row>
    <row r="40" spans="1:26" ht="22.9">
      <c r="A40" s="109"/>
      <c r="B40" s="110" t="s">
        <v>75</v>
      </c>
      <c r="C40" s="110" t="s">
        <v>73</v>
      </c>
      <c r="D40" s="110" t="s">
        <v>76</v>
      </c>
      <c r="E40" s="110" t="s">
        <v>60</v>
      </c>
      <c r="F40" s="110" t="s">
        <v>77</v>
      </c>
      <c r="G40" s="110"/>
      <c r="H40" s="110" t="s">
        <v>78</v>
      </c>
      <c r="I40" s="110" t="s">
        <v>79</v>
      </c>
      <c r="J40" s="110" t="s">
        <v>66</v>
      </c>
      <c r="K40" s="110"/>
      <c r="L40" s="110" t="s">
        <v>78</v>
      </c>
      <c r="M40" s="1" t="s">
        <v>79</v>
      </c>
      <c r="N40" s="1" t="s">
        <v>66</v>
      </c>
      <c r="P40" s="110" t="s">
        <v>78</v>
      </c>
      <c r="Q40" s="1" t="s">
        <v>79</v>
      </c>
      <c r="R40" s="1" t="s">
        <v>66</v>
      </c>
      <c r="T40" s="110" t="s">
        <v>78</v>
      </c>
      <c r="U40" s="1" t="s">
        <v>79</v>
      </c>
      <c r="V40" s="1" t="s">
        <v>66</v>
      </c>
      <c r="X40" s="110" t="s">
        <v>78</v>
      </c>
      <c r="Y40" s="1" t="s">
        <v>79</v>
      </c>
      <c r="Z40" s="1" t="s">
        <v>66</v>
      </c>
    </row>
    <row r="41" spans="1:26" ht="12" customHeight="1">
      <c r="A41" s="129" t="s">
        <v>80</v>
      </c>
      <c r="B41" s="111">
        <v>1</v>
      </c>
      <c r="C41" s="4">
        <f>(D41/VLOOKUP(B41,$O$15:$Q$28,3,FALSE))*1.03</f>
        <v>148.55769230769232</v>
      </c>
      <c r="D41" s="112">
        <v>300000</v>
      </c>
      <c r="E41" s="14">
        <f t="shared" ref="E41:E47" si="40">D41*$W$2</f>
        <v>87150</v>
      </c>
      <c r="F41" s="14">
        <f t="shared" ref="F41:F47" si="41">SUM(D41:E41)</f>
        <v>387150</v>
      </c>
      <c r="G41" s="14"/>
      <c r="H41" s="23">
        <f>IF($D41&gt;$P$3,VLOOKUP(B5,$Q$3:$T$10,2),B5*$D41)</f>
        <v>10605</v>
      </c>
      <c r="I41" s="23">
        <f>IF($D41&gt;$P$3,VLOOKUP(B5,$Q$3:$T$10,3),B5*$E41)</f>
        <v>3080.7524999999996</v>
      </c>
      <c r="J41" s="14">
        <f>SUM(H41:I41)</f>
        <v>13685.752499999999</v>
      </c>
      <c r="L41" s="23">
        <f>IF($D41&gt;$P$3,VLOOKUP(D5,$Q$3:$T$10,2),D5*$D41)*(1+'Cost Summary'!$C$70)</f>
        <v>0</v>
      </c>
      <c r="M41" s="23">
        <f>IF($D41&gt;$P$3,VLOOKUP(D5,$Q$3:$T$10,3),D5*$E41)*(1+'Cost Summary'!$C$70)</f>
        <v>0</v>
      </c>
      <c r="N41" s="14">
        <f t="shared" ref="N41:N47" si="42">SUM(L41:M41)</f>
        <v>0</v>
      </c>
      <c r="P41" s="23">
        <f>IF($D41&gt;$P$3,VLOOKUP(F5,$Q$3:$T$10,2),F5*$D41)*(1+'Cost Summary'!$C$70)^2</f>
        <v>0</v>
      </c>
      <c r="Q41" s="23">
        <f>IF($D41&gt;$P$3,VLOOKUP(F5,$Q$3:$T$10,3),F5*$E41)*(1+'Cost Summary'!$C$70)^2</f>
        <v>0</v>
      </c>
      <c r="R41" s="14">
        <f t="shared" ref="R41:R47" si="43">SUM(P41:Q41)</f>
        <v>0</v>
      </c>
      <c r="T41" s="23">
        <f>IF($D41&gt;$P$3,VLOOKUP(H5,$Q$3:$T$10,2),H5*$D41)*(1+'Cost Summary'!$C$70)^3</f>
        <v>0</v>
      </c>
      <c r="U41" s="23">
        <f>IF($D41&gt;$P$3,VLOOKUP(H5,$Q$3:$T$10,3),H5*$E41)*(1+'Cost Summary'!$C$70)^3</f>
        <v>0</v>
      </c>
      <c r="V41" s="14">
        <f>SUM(T41:U41)</f>
        <v>0</v>
      </c>
      <c r="X41" s="23">
        <f>IF($D41&gt;$P$3,VLOOKUP(J5,$Q$3:$T$10,2),J5*$D41)*(1+'Cost Summary'!$C$70)^4</f>
        <v>0</v>
      </c>
      <c r="Y41" s="23">
        <f>IF($D41&gt;$P$3,VLOOKUP(J5,$Q$3:$T$10,3),J5*$E41)*(1+'Cost Summary'!$C$70)^4</f>
        <v>0</v>
      </c>
      <c r="Z41" s="14">
        <f>SUM(X41:Y41)</f>
        <v>0</v>
      </c>
    </row>
    <row r="42" spans="1:26">
      <c r="A42" s="129" t="s">
        <v>81</v>
      </c>
      <c r="B42" s="111">
        <v>1</v>
      </c>
      <c r="C42" s="4">
        <f t="shared" ref="C42:C47" si="44">(D42/VLOOKUP(B42,$O$15:$Q$28,3,FALSE))*1.03</f>
        <v>32.1875</v>
      </c>
      <c r="D42" s="112">
        <v>65000</v>
      </c>
      <c r="E42" s="14">
        <f t="shared" si="40"/>
        <v>18882.5</v>
      </c>
      <c r="F42" s="14">
        <f t="shared" si="41"/>
        <v>83882.5</v>
      </c>
      <c r="G42" s="14"/>
      <c r="H42" s="23">
        <f>IF($D42&gt;$P$3,VLOOKUP(B6,$Q$3:$T$10,2),B6*$D42)</f>
        <v>13000</v>
      </c>
      <c r="I42" s="23">
        <f>IF($D42&gt;$P$3,VLOOKUP(B6,$Q$3:$T$10,3),B6*$E42)</f>
        <v>3776.5</v>
      </c>
      <c r="J42" s="14">
        <f t="shared" ref="J42:J43" si="45">SUM(H42:I42)</f>
        <v>16776.5</v>
      </c>
      <c r="L42" s="23">
        <f>IF($D42&gt;$P$3,VLOOKUP(D6,$Q$3:$T$10,2),D6*$D42)*(1+'Cost Summary'!$C$70)</f>
        <v>0</v>
      </c>
      <c r="M42" s="23">
        <f>IF($D42&gt;$P$3,VLOOKUP(D6,$Q$3:$T$10,3),D6*$E42)*(1+'Cost Summary'!$C$70)</f>
        <v>0</v>
      </c>
      <c r="N42" s="14">
        <f t="shared" si="42"/>
        <v>0</v>
      </c>
      <c r="P42" s="23">
        <f>IF($D42&gt;$P$3,VLOOKUP(F6,$Q$3:$T$10,2),F6*$D42)*(1+'Cost Summary'!$C$70)^2</f>
        <v>0</v>
      </c>
      <c r="Q42" s="23">
        <f>IF($D42&gt;$P$3,VLOOKUP(F6,$Q$3:$T$10,3),F6*$E42)*(1+'Cost Summary'!$C$70)^2</f>
        <v>0</v>
      </c>
      <c r="R42" s="14">
        <f t="shared" si="43"/>
        <v>0</v>
      </c>
      <c r="T42" s="23">
        <f>IF($D42&gt;$P$3,VLOOKUP(H6,$Q$3:$T$10,2),H6*$D42)*(1+'Cost Summary'!$C$70)^3</f>
        <v>0</v>
      </c>
      <c r="U42" s="23">
        <f>IF($D42&gt;$P$3,VLOOKUP(H6,$Q$3:$T$10,3),H6*$E42)*(1+'Cost Summary'!$C$70)^3</f>
        <v>0</v>
      </c>
      <c r="V42" s="14">
        <f t="shared" ref="V42:V43" si="46">SUM(T42:U42)</f>
        <v>0</v>
      </c>
      <c r="X42" s="23">
        <f>IF($D42&gt;$P$3,VLOOKUP(J6,$Q$3:$T$10,2),J6*$D42)*(1+'Cost Summary'!$C$70)^4</f>
        <v>0</v>
      </c>
      <c r="Y42" s="23">
        <f>IF($D42&gt;$P$3,VLOOKUP(J6,$Q$3:$T$10,3),J6*$E42)*(1+'Cost Summary'!$C$70)^4</f>
        <v>0</v>
      </c>
      <c r="Z42" s="14">
        <f t="shared" ref="Z42:Z43" si="47">SUM(X42:Y42)</f>
        <v>0</v>
      </c>
    </row>
    <row r="43" spans="1:26">
      <c r="A43" s="129"/>
      <c r="B43" s="111">
        <v>1</v>
      </c>
      <c r="C43" s="4">
        <f t="shared" si="44"/>
        <v>0</v>
      </c>
      <c r="D43" s="113"/>
      <c r="E43" s="14">
        <f t="shared" si="40"/>
        <v>0</v>
      </c>
      <c r="F43" s="14">
        <f t="shared" si="41"/>
        <v>0</v>
      </c>
      <c r="G43" s="14"/>
      <c r="H43" s="23">
        <f>IF($D43&gt;$P$3,VLOOKUP(B7,$Q$3:$T$10,2),B7*$D43)</f>
        <v>0</v>
      </c>
      <c r="I43" s="23">
        <f>IF($D43&gt;$P$3,VLOOKUP(B7,$Q$3:$T$10,3),B7*$E43)</f>
        <v>0</v>
      </c>
      <c r="J43" s="14">
        <f t="shared" si="45"/>
        <v>0</v>
      </c>
      <c r="L43" s="23">
        <f>IF($D43&gt;$P$3,VLOOKUP(D7,$Q$3:$T$10,2),D7*$D43)*(1+'Cost Summary'!$C$70)</f>
        <v>0</v>
      </c>
      <c r="M43" s="23">
        <f>IF($D43&gt;$P$3,VLOOKUP(D7,$Q$3:$T$10,3),D7*$E43)*(1+'Cost Summary'!$C$70)</f>
        <v>0</v>
      </c>
      <c r="N43" s="14">
        <f t="shared" si="42"/>
        <v>0</v>
      </c>
      <c r="P43" s="23">
        <f>IF($D43&gt;$P$3,VLOOKUP(F7,$Q$3:$T$10,2),F7*$D43)*(1+'Cost Summary'!$C$70)^2</f>
        <v>0</v>
      </c>
      <c r="Q43" s="23">
        <f>IF($D43&gt;$P$3,VLOOKUP(F7,$Q$3:$T$10,3),F7*$E43)*(1+'Cost Summary'!$C$70)^2</f>
        <v>0</v>
      </c>
      <c r="R43" s="14">
        <f t="shared" si="43"/>
        <v>0</v>
      </c>
      <c r="T43" s="23">
        <f>IF($D43&gt;$P$3,VLOOKUP(H7,$Q$3:$T$10,2),H7*$D43)*(1+'Cost Summary'!$C$70)^3</f>
        <v>0</v>
      </c>
      <c r="U43" s="23">
        <f>IF($D43&gt;$P$3,VLOOKUP(H7,$Q$3:$T$10,3),H7*$E43)*(1+'Cost Summary'!$C$70)^3</f>
        <v>0</v>
      </c>
      <c r="V43" s="14">
        <f t="shared" si="46"/>
        <v>0</v>
      </c>
      <c r="X43" s="23">
        <f>IF($D43&gt;$P$3,VLOOKUP(J7,$Q$3:$T$10,2),J7*$D43)*(1+'Cost Summary'!$C$70)^4</f>
        <v>0</v>
      </c>
      <c r="Y43" s="23">
        <f>IF($D43&gt;$P$3,VLOOKUP(J7,$Q$3:$T$10,3),J7*$E43)*(1+'Cost Summary'!$C$70)^4</f>
        <v>0</v>
      </c>
      <c r="Z43" s="14">
        <f t="shared" si="47"/>
        <v>0</v>
      </c>
    </row>
    <row r="44" spans="1:26" ht="12" customHeight="1">
      <c r="A44" s="129"/>
      <c r="B44" s="111">
        <v>1</v>
      </c>
      <c r="C44" s="4">
        <f t="shared" si="44"/>
        <v>0</v>
      </c>
      <c r="D44" s="112"/>
      <c r="E44" s="14">
        <f t="shared" si="40"/>
        <v>0</v>
      </c>
      <c r="F44" s="14">
        <f t="shared" si="41"/>
        <v>0</v>
      </c>
      <c r="G44" s="14"/>
      <c r="H44" s="23">
        <f>IF($D44&gt;$P$3,VLOOKUP(B8,$Q$3:$T$10,2),B8*$D44)</f>
        <v>0</v>
      </c>
      <c r="I44" s="23">
        <f>IF($D44&gt;$P$3,VLOOKUP(B8,$Q$3:$T$10,3),B8*$E44)</f>
        <v>0</v>
      </c>
      <c r="J44" s="14">
        <f>SUM(H44:I44)</f>
        <v>0</v>
      </c>
      <c r="L44" s="23">
        <f>IF($D44&gt;$P$3,VLOOKUP(D8,$Q$3:$T$10,2),D8*$D44)*(1+'Cost Summary'!$C$70)</f>
        <v>0</v>
      </c>
      <c r="M44" s="23">
        <f>IF($D44&gt;$P$3,VLOOKUP(D8,$Q$3:$T$10,3),D8*$E44)*(1+'Cost Summary'!$C$70)</f>
        <v>0</v>
      </c>
      <c r="N44" s="14">
        <f t="shared" si="42"/>
        <v>0</v>
      </c>
      <c r="P44" s="23">
        <f>IF($D44&gt;$P$3,VLOOKUP(F8,$Q$3:$T$10,2),F8*$D44)*(1+'Cost Summary'!$C$70)^2</f>
        <v>0</v>
      </c>
      <c r="Q44" s="23">
        <f>IF($D44&gt;$P$3,VLOOKUP(F8,$Q$3:$T$10,3),F8*$E44)*(1+'Cost Summary'!$C$70)^2</f>
        <v>0</v>
      </c>
      <c r="R44" s="14">
        <f t="shared" si="43"/>
        <v>0</v>
      </c>
      <c r="T44" s="23">
        <f>IF($D44&gt;$P$3,VLOOKUP(H8,$Q$3:$T$10,2),H8*$D44)*(1+'Cost Summary'!$C$70)^3</f>
        <v>0</v>
      </c>
      <c r="U44" s="23">
        <f>IF($D44&gt;$P$3,VLOOKUP(H8,$Q$3:$T$10,3),H8*$E44)*(1+'Cost Summary'!$C$70)^3</f>
        <v>0</v>
      </c>
      <c r="V44" s="14">
        <f>SUM(T44:U44)</f>
        <v>0</v>
      </c>
      <c r="X44" s="23">
        <f>IF($D44&gt;$P$3,VLOOKUP(J8,$Q$3:$T$10,2),J8*$D44)*(1+'Cost Summary'!$C$70)^4</f>
        <v>0</v>
      </c>
      <c r="Y44" s="23">
        <f>IF($D44&gt;$P$3,VLOOKUP(J8,$Q$3:$T$10,3),J8*$E44)*(1+'Cost Summary'!$C$70)^4</f>
        <v>0</v>
      </c>
      <c r="Z44" s="14">
        <f>SUM(X44:Y44)</f>
        <v>0</v>
      </c>
    </row>
    <row r="45" spans="1:26">
      <c r="A45" s="129"/>
      <c r="B45" s="111">
        <v>1</v>
      </c>
      <c r="C45" s="4">
        <f t="shared" si="44"/>
        <v>0</v>
      </c>
      <c r="D45" s="112"/>
      <c r="E45" s="14">
        <f t="shared" si="40"/>
        <v>0</v>
      </c>
      <c r="F45" s="14">
        <f t="shared" si="41"/>
        <v>0</v>
      </c>
      <c r="G45" s="14"/>
      <c r="H45" s="23">
        <f>IF($D45&gt;$P$3,VLOOKUP(B9,$Q$3:$T$10,2),B9*$D45)</f>
        <v>0</v>
      </c>
      <c r="I45" s="23">
        <f>IF($D45&gt;$P$3,VLOOKUP(B9,$Q$3:$T$10,3),B9*$E45)</f>
        <v>0</v>
      </c>
      <c r="J45" s="14">
        <f t="shared" ref="J45:J46" si="48">SUM(H45:I45)</f>
        <v>0</v>
      </c>
      <c r="L45" s="23">
        <f>IF($D45&gt;$P$3,VLOOKUP(D9,$Q$3:$T$10,2),D9*$D45)*(1+'Cost Summary'!$C$70)</f>
        <v>0</v>
      </c>
      <c r="M45" s="23">
        <f>IF($D45&gt;$P$3,VLOOKUP(D9,$Q$3:$T$10,3),D9*$E45)*(1+'Cost Summary'!$C$70)</f>
        <v>0</v>
      </c>
      <c r="N45" s="14">
        <f t="shared" si="42"/>
        <v>0</v>
      </c>
      <c r="P45" s="23">
        <f>IF($D45&gt;$P$3,VLOOKUP(F9,$Q$3:$T$10,2),F9*$D45)*(1+'Cost Summary'!$C$70)^2</f>
        <v>0</v>
      </c>
      <c r="Q45" s="23">
        <f>IF($D45&gt;$P$3,VLOOKUP(F9,$Q$3:$T$10,3),F9*$E45)*(1+'Cost Summary'!$C$70)^2</f>
        <v>0</v>
      </c>
      <c r="R45" s="14">
        <f t="shared" si="43"/>
        <v>0</v>
      </c>
      <c r="T45" s="23">
        <f>IF($D45&gt;$P$3,VLOOKUP(H9,$Q$3:$T$10,2),H9*$D45)*(1+'Cost Summary'!$C$70)^3</f>
        <v>0</v>
      </c>
      <c r="U45" s="23">
        <f>IF($D45&gt;$P$3,VLOOKUP(H9,$Q$3:$T$10,3),H9*$E45)*(1+'Cost Summary'!$C$70)^3</f>
        <v>0</v>
      </c>
      <c r="V45" s="14">
        <f t="shared" ref="V45:V46" si="49">SUM(T45:U45)</f>
        <v>0</v>
      </c>
      <c r="X45" s="23">
        <f>IF($D45&gt;$P$3,VLOOKUP(J9,$Q$3:$T$10,2),J9*$D45)*(1+'Cost Summary'!$C$70)^4</f>
        <v>0</v>
      </c>
      <c r="Y45" s="23">
        <f>IF($D45&gt;$P$3,VLOOKUP(J9,$Q$3:$T$10,3),J9*$E45)*(1+'Cost Summary'!$C$70)^4</f>
        <v>0</v>
      </c>
      <c r="Z45" s="14">
        <f t="shared" ref="Z45:Z46" si="50">SUM(X45:Y45)</f>
        <v>0</v>
      </c>
    </row>
    <row r="46" spans="1:26">
      <c r="A46" s="129"/>
      <c r="B46" s="111">
        <v>1</v>
      </c>
      <c r="C46" s="4">
        <f t="shared" si="44"/>
        <v>0</v>
      </c>
      <c r="D46" s="113"/>
      <c r="E46" s="14">
        <f t="shared" si="40"/>
        <v>0</v>
      </c>
      <c r="F46" s="14">
        <f t="shared" si="41"/>
        <v>0</v>
      </c>
      <c r="G46" s="14"/>
      <c r="H46" s="23">
        <f>IF($D46&gt;$P$3,VLOOKUP(B10,$Q$3:$T$10,2),B10*$D46)</f>
        <v>0</v>
      </c>
      <c r="I46" s="23">
        <f>IF($D46&gt;$P$3,VLOOKUP(B10,$Q$3:$T$10,3),B10*$E46)</f>
        <v>0</v>
      </c>
      <c r="J46" s="14">
        <f t="shared" si="48"/>
        <v>0</v>
      </c>
      <c r="L46" s="23">
        <f>IF($D46&gt;$P$3,VLOOKUP(D10,$Q$3:$T$10,2),D10*$D46)*(1+'Cost Summary'!$C$70)</f>
        <v>0</v>
      </c>
      <c r="M46" s="23">
        <f>IF($D46&gt;$P$3,VLOOKUP(D10,$Q$3:$T$10,3),D10*$E46)*(1+'Cost Summary'!$C$70)</f>
        <v>0</v>
      </c>
      <c r="N46" s="14">
        <f t="shared" si="42"/>
        <v>0</v>
      </c>
      <c r="P46" s="23">
        <f>IF($D46&gt;$P$3,VLOOKUP(F10,$Q$3:$T$10,2),F10*$D46)*(1+'Cost Summary'!$C$70)^2</f>
        <v>0</v>
      </c>
      <c r="Q46" s="23">
        <f>IF($D46&gt;$P$3,VLOOKUP(F10,$Q$3:$T$10,3),F10*$E46)*(1+'Cost Summary'!$C$70)^2</f>
        <v>0</v>
      </c>
      <c r="R46" s="14">
        <f t="shared" si="43"/>
        <v>0</v>
      </c>
      <c r="T46" s="23">
        <f>IF($D46&gt;$P$3,VLOOKUP(H10,$Q$3:$T$10,2),H10*$D46)*(1+'Cost Summary'!$C$70)^3</f>
        <v>0</v>
      </c>
      <c r="U46" s="23">
        <f>IF($D46&gt;$P$3,VLOOKUP(H10,$Q$3:$T$10,3),H10*$E46)*(1+'Cost Summary'!$C$70)^3</f>
        <v>0</v>
      </c>
      <c r="V46" s="14">
        <f t="shared" si="49"/>
        <v>0</v>
      </c>
      <c r="X46" s="23">
        <f>IF($D46&gt;$P$3,VLOOKUP(J10,$Q$3:$T$10,2),J10*$D46)*(1+'Cost Summary'!$C$70)^4</f>
        <v>0</v>
      </c>
      <c r="Y46" s="23">
        <f>IF($D46&gt;$P$3,VLOOKUP(J10,$Q$3:$T$10,3),J10*$E46)*(1+'Cost Summary'!$C$70)^4</f>
        <v>0</v>
      </c>
      <c r="Z46" s="14">
        <f t="shared" si="50"/>
        <v>0</v>
      </c>
    </row>
    <row r="47" spans="1:26">
      <c r="A47" s="129"/>
      <c r="B47" s="111">
        <v>1</v>
      </c>
      <c r="C47" s="4">
        <f t="shared" si="44"/>
        <v>0</v>
      </c>
      <c r="D47" s="113"/>
      <c r="E47" s="14">
        <f t="shared" si="40"/>
        <v>0</v>
      </c>
      <c r="F47" s="14">
        <f t="shared" si="41"/>
        <v>0</v>
      </c>
      <c r="G47" s="14"/>
      <c r="H47" s="114">
        <f>IF($D47&gt;$P$3,VLOOKUP(B11,$Q$3:$T$10,2),B11*$D47)</f>
        <v>0</v>
      </c>
      <c r="I47" s="114">
        <f>IF($D47&gt;$P$3,VLOOKUP(B11,$Q$3:$T$10,3),B11*$E47)</f>
        <v>0</v>
      </c>
      <c r="J47" s="115">
        <f t="shared" ref="J47" si="51">SUM(H47:I47)</f>
        <v>0</v>
      </c>
      <c r="L47" s="114">
        <f>IF($D47&gt;$P$3,VLOOKUP(D11,$Q$3:$T$10,2),D11*$D47)*(1+'Cost Summary'!$C$70)</f>
        <v>0</v>
      </c>
      <c r="M47" s="114">
        <f>IF($D47&gt;$P$3,VLOOKUP(D11,$Q$3:$T$10,3),D11*$E47)*(1+'Cost Summary'!$C$70)</f>
        <v>0</v>
      </c>
      <c r="N47" s="115">
        <f t="shared" si="42"/>
        <v>0</v>
      </c>
      <c r="P47" s="114">
        <f>IF($D47&gt;$P$3,VLOOKUP(F11,$Q$3:$T$10,2),F11*$D47)*(1+'Cost Summary'!$C$70)^2</f>
        <v>0</v>
      </c>
      <c r="Q47" s="114">
        <f>IF($D47&gt;$P$3,VLOOKUP(F11,$Q$3:$T$10,3),F11*$E47)*(1+'Cost Summary'!$C$70)^2</f>
        <v>0</v>
      </c>
      <c r="R47" s="115">
        <f t="shared" si="43"/>
        <v>0</v>
      </c>
      <c r="T47" s="114">
        <f>IF($D47&gt;$P$3,VLOOKUP(H11,$Q$3:$T$10,2),H11*$D47)*(1+'Cost Summary'!$C$70)^3</f>
        <v>0</v>
      </c>
      <c r="U47" s="114">
        <f>IF($D47&gt;$P$3,VLOOKUP(H11,$Q$3:$T$10,3),H11*$E47)*(1+'Cost Summary'!$C$70)^3</f>
        <v>0</v>
      </c>
      <c r="V47" s="115">
        <f t="shared" ref="V47" si="52">SUM(T47:U47)</f>
        <v>0</v>
      </c>
      <c r="X47" s="114">
        <f>IF($D47&gt;$P$3,VLOOKUP(J11,$Q$3:$T$10,2),J11*$D47)*(1+'Cost Summary'!$C$70)^4</f>
        <v>0</v>
      </c>
      <c r="Y47" s="114">
        <f>IF($D47&gt;$P$3,VLOOKUP(J11,$Q$3:$T$10,3),J11*$E47)*(1+'Cost Summary'!$C$70)^4</f>
        <v>0</v>
      </c>
      <c r="Z47" s="115">
        <f t="shared" ref="Z47" si="53">SUM(X47:Y47)</f>
        <v>0</v>
      </c>
    </row>
    <row r="48" spans="1:26">
      <c r="F48" s="14"/>
      <c r="G48" s="14"/>
      <c r="H48" s="14">
        <f>SUM(H41:H47)</f>
        <v>23605</v>
      </c>
      <c r="I48" s="14">
        <f>SUM(I41:I47)</f>
        <v>6857.2524999999996</v>
      </c>
      <c r="J48" s="14">
        <f>SUM(J41:J47)</f>
        <v>30462.252499999999</v>
      </c>
      <c r="L48" s="14">
        <f>SUM(L41:L47)</f>
        <v>0</v>
      </c>
      <c r="M48" s="14">
        <f>SUM(M41:M47)</f>
        <v>0</v>
      </c>
      <c r="N48" s="14">
        <f>SUM(N41:N47)</f>
        <v>0</v>
      </c>
      <c r="P48" s="14">
        <f>SUM(P41:P47)</f>
        <v>0</v>
      </c>
      <c r="Q48" s="14">
        <f>SUM(Q41:Q47)</f>
        <v>0</v>
      </c>
      <c r="R48" s="14">
        <f>SUM(R41:R47)</f>
        <v>0</v>
      </c>
      <c r="T48" s="14">
        <f>SUM(T41:T47)</f>
        <v>0</v>
      </c>
      <c r="U48" s="14">
        <f>SUM(U41:U47)</f>
        <v>0</v>
      </c>
      <c r="V48" s="14">
        <f>SUM(V41:V47)</f>
        <v>0</v>
      </c>
      <c r="X48" s="14">
        <f>SUM(X41:X47)</f>
        <v>0</v>
      </c>
      <c r="Y48" s="14">
        <f>SUM(Y41:Y47)</f>
        <v>0</v>
      </c>
      <c r="Z48" s="14">
        <f>SUM(Z41:Z47)</f>
        <v>0</v>
      </c>
    </row>
    <row r="49" spans="3:6">
      <c r="F49" s="14"/>
    </row>
    <row r="50" spans="3:6">
      <c r="C50" s="14"/>
      <c r="D50" s="14"/>
      <c r="E50" s="14"/>
    </row>
    <row r="52" spans="3:6" ht="12" customHeight="1"/>
  </sheetData>
  <mergeCells count="9">
    <mergeCell ref="O13:Q13"/>
    <mergeCell ref="A14:L14"/>
    <mergeCell ref="A25:L25"/>
    <mergeCell ref="B2:C2"/>
    <mergeCell ref="D2:E2"/>
    <mergeCell ref="F2:G2"/>
    <mergeCell ref="H2:I2"/>
    <mergeCell ref="J2:K2"/>
    <mergeCell ref="O2:O10"/>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8399BB24-D755-44B2-A105-2203A4EDB960}">
          <x14:formula1>
            <xm:f>References!$D$3:$D$22</xm:f>
          </x14:formula1>
          <xm:sqref>M26:M32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68"/>
  <sheetViews>
    <sheetView workbookViewId="0">
      <selection activeCell="E23" sqref="E23"/>
    </sheetView>
  </sheetViews>
  <sheetFormatPr defaultColWidth="9.140625" defaultRowHeight="11.45" outlineLevelRow="1"/>
  <cols>
    <col min="1" max="1" width="29" style="1" customWidth="1"/>
    <col min="2" max="2" width="13.42578125" style="1" bestFit="1" customWidth="1"/>
    <col min="3" max="3" width="11.42578125" style="1" bestFit="1" customWidth="1"/>
    <col min="4" max="4" width="11.42578125" style="1" customWidth="1"/>
    <col min="5" max="5" width="11.140625" style="1" bestFit="1" customWidth="1"/>
    <col min="6" max="6" width="10.7109375" style="1" customWidth="1"/>
    <col min="7" max="7" width="9.7109375" style="1" bestFit="1" customWidth="1"/>
    <col min="8" max="8" width="10.7109375" style="1" customWidth="1"/>
    <col min="9" max="9" width="11.5703125" style="1" customWidth="1"/>
    <col min="10" max="10" width="10.7109375" style="1" customWidth="1"/>
    <col min="11" max="11" width="9.7109375" style="1" bestFit="1" customWidth="1"/>
    <col min="12" max="12" width="10.7109375" style="1" customWidth="1"/>
    <col min="13" max="13" width="11.85546875" style="1" bestFit="1" customWidth="1"/>
    <col min="14" max="14" width="10.7109375" style="1" customWidth="1"/>
    <col min="15" max="15" width="12.7109375" style="1" bestFit="1" customWidth="1"/>
    <col min="16" max="17" width="11" style="1" bestFit="1" customWidth="1"/>
    <col min="18" max="18" width="9.7109375" style="1" bestFit="1" customWidth="1"/>
    <col min="19" max="20" width="9.140625" style="1"/>
    <col min="21" max="21" width="11.140625" style="1" customWidth="1"/>
    <col min="22" max="23" width="9.5703125" style="1" bestFit="1" customWidth="1"/>
    <col min="24" max="24" width="9.140625" style="1"/>
    <col min="25" max="25" width="10.140625" style="1" customWidth="1"/>
    <col min="26" max="27" width="10.28515625" style="1" bestFit="1" customWidth="1"/>
    <col min="28" max="16384" width="9.140625" style="1"/>
  </cols>
  <sheetData>
    <row r="1" spans="1:10">
      <c r="A1" s="13" t="s">
        <v>82</v>
      </c>
      <c r="B1" s="20" t="s">
        <v>83</v>
      </c>
      <c r="C1" s="30" t="s">
        <v>2</v>
      </c>
      <c r="D1" s="30" t="s">
        <v>3</v>
      </c>
      <c r="E1" s="30" t="s">
        <v>4</v>
      </c>
      <c r="F1" s="30" t="s">
        <v>5</v>
      </c>
      <c r="G1" s="30" t="s">
        <v>6</v>
      </c>
      <c r="H1" s="30" t="s">
        <v>66</v>
      </c>
    </row>
    <row r="2" spans="1:10">
      <c r="A2" s="31" t="s">
        <v>84</v>
      </c>
      <c r="B2" s="53">
        <v>1</v>
      </c>
      <c r="C2" s="54">
        <f>G66*$B$2</f>
        <v>0</v>
      </c>
      <c r="D2" s="54">
        <f>K66*$B$2</f>
        <v>0</v>
      </c>
      <c r="E2" s="54">
        <f>O66*$B$2</f>
        <v>0</v>
      </c>
      <c r="F2" s="54">
        <f>S66*$B$2</f>
        <v>0</v>
      </c>
      <c r="G2" s="54">
        <f>W66*$B$2</f>
        <v>0</v>
      </c>
      <c r="H2" s="34">
        <f>SUM(C2:G2)</f>
        <v>0</v>
      </c>
      <c r="I2" s="5">
        <f>H2-AA66</f>
        <v>0</v>
      </c>
      <c r="J2" s="6" t="s">
        <v>10</v>
      </c>
    </row>
    <row r="3" spans="1:10">
      <c r="A3" s="31"/>
      <c r="B3" s="34"/>
      <c r="C3" s="35"/>
      <c r="D3" s="35"/>
      <c r="E3" s="35"/>
      <c r="F3" s="35"/>
      <c r="G3" s="35"/>
      <c r="H3" s="35">
        <f t="shared" ref="H3:H15" si="0">SUM(C3:G3)</f>
        <v>0</v>
      </c>
    </row>
    <row r="4" spans="1:10">
      <c r="A4" s="31"/>
      <c r="B4" s="34"/>
      <c r="C4" s="35"/>
      <c r="D4" s="35"/>
      <c r="E4" s="35"/>
      <c r="F4" s="35"/>
      <c r="G4" s="35"/>
      <c r="H4" s="35">
        <f t="shared" si="0"/>
        <v>0</v>
      </c>
    </row>
    <row r="5" spans="1:10">
      <c r="A5" s="31"/>
      <c r="B5" s="34"/>
      <c r="C5" s="35"/>
      <c r="D5" s="35"/>
      <c r="E5" s="35"/>
      <c r="F5" s="35"/>
      <c r="G5" s="35"/>
      <c r="H5" s="35">
        <f t="shared" si="0"/>
        <v>0</v>
      </c>
    </row>
    <row r="6" spans="1:10">
      <c r="A6" s="31"/>
      <c r="B6" s="34"/>
      <c r="C6" s="35"/>
      <c r="D6" s="35"/>
      <c r="E6" s="35"/>
      <c r="F6" s="35"/>
      <c r="G6" s="35"/>
      <c r="H6" s="35">
        <f t="shared" si="0"/>
        <v>0</v>
      </c>
    </row>
    <row r="7" spans="1:10">
      <c r="A7" s="31"/>
      <c r="B7" s="34"/>
      <c r="C7" s="35"/>
      <c r="D7" s="35"/>
      <c r="E7" s="35"/>
      <c r="F7" s="35"/>
      <c r="G7" s="35"/>
      <c r="H7" s="35">
        <f t="shared" si="0"/>
        <v>0</v>
      </c>
    </row>
    <row r="8" spans="1:10">
      <c r="A8" s="31"/>
      <c r="B8" s="34"/>
      <c r="C8" s="35"/>
      <c r="D8" s="35"/>
      <c r="E8" s="35"/>
      <c r="F8" s="35"/>
      <c r="G8" s="35"/>
      <c r="H8" s="35">
        <f t="shared" si="0"/>
        <v>0</v>
      </c>
    </row>
    <row r="9" spans="1:10">
      <c r="A9" s="31"/>
      <c r="B9" s="34"/>
      <c r="C9" s="35"/>
      <c r="D9" s="35"/>
      <c r="E9" s="35"/>
      <c r="F9" s="35"/>
      <c r="G9" s="35"/>
      <c r="H9" s="35">
        <f t="shared" si="0"/>
        <v>0</v>
      </c>
    </row>
    <row r="10" spans="1:10">
      <c r="A10" s="31"/>
      <c r="B10" s="34"/>
      <c r="C10" s="35"/>
      <c r="D10" s="35"/>
      <c r="E10" s="35"/>
      <c r="F10" s="35"/>
      <c r="G10" s="35"/>
      <c r="H10" s="35">
        <f t="shared" si="0"/>
        <v>0</v>
      </c>
    </row>
    <row r="11" spans="1:10">
      <c r="A11" s="31"/>
      <c r="B11" s="34"/>
      <c r="C11" s="35"/>
      <c r="D11" s="35"/>
      <c r="E11" s="35"/>
      <c r="F11" s="35"/>
      <c r="G11" s="35"/>
      <c r="H11" s="35">
        <f t="shared" si="0"/>
        <v>0</v>
      </c>
    </row>
    <row r="12" spans="1:10">
      <c r="A12" s="31"/>
      <c r="B12" s="34"/>
      <c r="C12" s="35"/>
      <c r="D12" s="35"/>
      <c r="E12" s="35"/>
      <c r="F12" s="35"/>
      <c r="G12" s="35"/>
      <c r="H12" s="35">
        <f t="shared" si="0"/>
        <v>0</v>
      </c>
    </row>
    <row r="13" spans="1:10">
      <c r="A13" s="31"/>
      <c r="B13" s="34"/>
      <c r="C13" s="35"/>
      <c r="D13" s="35"/>
      <c r="E13" s="35"/>
      <c r="F13" s="35"/>
      <c r="G13" s="35"/>
      <c r="H13" s="35">
        <f t="shared" si="0"/>
        <v>0</v>
      </c>
    </row>
    <row r="14" spans="1:10">
      <c r="A14" s="31"/>
      <c r="B14" s="34"/>
      <c r="C14" s="35"/>
      <c r="D14" s="35"/>
      <c r="E14" s="35"/>
      <c r="F14" s="35"/>
      <c r="G14" s="35"/>
      <c r="H14" s="35">
        <f t="shared" si="0"/>
        <v>0</v>
      </c>
    </row>
    <row r="15" spans="1:10" ht="12" thickBot="1">
      <c r="A15" s="39"/>
      <c r="B15" s="55"/>
      <c r="C15" s="47"/>
      <c r="D15" s="47"/>
      <c r="E15" s="47"/>
      <c r="F15" s="47"/>
      <c r="G15" s="47"/>
      <c r="H15" s="47">
        <f t="shared" si="0"/>
        <v>0</v>
      </c>
    </row>
    <row r="16" spans="1:10">
      <c r="A16" s="191" t="s">
        <v>85</v>
      </c>
      <c r="B16" s="192"/>
      <c r="C16" s="45">
        <f>SUM(C2:C15)</f>
        <v>0</v>
      </c>
      <c r="D16" s="45">
        <f t="shared" ref="D16:G16" si="1">SUM(D2:D15)</f>
        <v>0</v>
      </c>
      <c r="E16" s="45">
        <f t="shared" si="1"/>
        <v>0</v>
      </c>
      <c r="F16" s="45">
        <f t="shared" si="1"/>
        <v>0</v>
      </c>
      <c r="G16" s="45">
        <f t="shared" si="1"/>
        <v>0</v>
      </c>
      <c r="H16" s="45">
        <f>SUM(H2:H15)</f>
        <v>0</v>
      </c>
    </row>
    <row r="18" spans="1:28" ht="12" thickBot="1"/>
    <row r="19" spans="1:28" ht="15.75" customHeight="1" thickBot="1">
      <c r="A19" s="172" t="s">
        <v>86</v>
      </c>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4"/>
    </row>
    <row r="20" spans="1:28" ht="15.75" customHeight="1" thickBot="1">
      <c r="A20" s="56"/>
      <c r="B20" s="56"/>
      <c r="C20" s="56"/>
      <c r="D20" s="57"/>
      <c r="E20" s="188" t="s">
        <v>2</v>
      </c>
      <c r="F20" s="189"/>
      <c r="G20" s="189"/>
      <c r="H20" s="190"/>
      <c r="I20" s="188" t="s">
        <v>3</v>
      </c>
      <c r="J20" s="189"/>
      <c r="K20" s="189"/>
      <c r="L20" s="190"/>
      <c r="M20" s="188" t="s">
        <v>4</v>
      </c>
      <c r="N20" s="189"/>
      <c r="O20" s="189"/>
      <c r="P20" s="190"/>
      <c r="Q20" s="188" t="s">
        <v>5</v>
      </c>
      <c r="R20" s="189"/>
      <c r="S20" s="189"/>
      <c r="T20" s="190"/>
      <c r="U20" s="188" t="s">
        <v>6</v>
      </c>
      <c r="V20" s="189"/>
      <c r="W20" s="189"/>
      <c r="X20" s="190"/>
      <c r="Y20" s="188" t="s">
        <v>87</v>
      </c>
      <c r="Z20" s="189"/>
      <c r="AA20" s="189"/>
      <c r="AB20" s="190"/>
    </row>
    <row r="21" spans="1:28" ht="57">
      <c r="A21" s="58" t="s">
        <v>88</v>
      </c>
      <c r="B21" s="59" t="s">
        <v>89</v>
      </c>
      <c r="C21" s="59" t="s">
        <v>90</v>
      </c>
      <c r="D21" s="60" t="s">
        <v>91</v>
      </c>
      <c r="E21" s="61" t="s">
        <v>92</v>
      </c>
      <c r="F21" s="62" t="s">
        <v>93</v>
      </c>
      <c r="G21" s="62" t="s">
        <v>94</v>
      </c>
      <c r="H21" s="63" t="s">
        <v>95</v>
      </c>
      <c r="I21" s="61" t="s">
        <v>92</v>
      </c>
      <c r="J21" s="62" t="s">
        <v>93</v>
      </c>
      <c r="K21" s="62" t="s">
        <v>94</v>
      </c>
      <c r="L21" s="63" t="s">
        <v>95</v>
      </c>
      <c r="M21" s="61" t="s">
        <v>92</v>
      </c>
      <c r="N21" s="62" t="s">
        <v>93</v>
      </c>
      <c r="O21" s="62" t="s">
        <v>94</v>
      </c>
      <c r="P21" s="63" t="s">
        <v>95</v>
      </c>
      <c r="Q21" s="61" t="s">
        <v>92</v>
      </c>
      <c r="R21" s="62" t="s">
        <v>93</v>
      </c>
      <c r="S21" s="62" t="s">
        <v>94</v>
      </c>
      <c r="T21" s="63" t="s">
        <v>95</v>
      </c>
      <c r="U21" s="61" t="s">
        <v>92</v>
      </c>
      <c r="V21" s="62" t="s">
        <v>93</v>
      </c>
      <c r="W21" s="62" t="s">
        <v>94</v>
      </c>
      <c r="X21" s="63" t="s">
        <v>95</v>
      </c>
      <c r="Y21" s="61" t="s">
        <v>92</v>
      </c>
      <c r="Z21" s="62" t="s">
        <v>93</v>
      </c>
      <c r="AA21" s="62" t="s">
        <v>96</v>
      </c>
      <c r="AB21" s="63" t="s">
        <v>95</v>
      </c>
    </row>
    <row r="22" spans="1:28">
      <c r="A22" s="64" t="s">
        <v>97</v>
      </c>
      <c r="B22" s="31" t="s">
        <v>98</v>
      </c>
      <c r="C22" s="34"/>
      <c r="D22" s="65"/>
      <c r="E22" s="66"/>
      <c r="F22" s="34">
        <f>E22*$C22</f>
        <v>0</v>
      </c>
      <c r="G22" s="34">
        <f>E22*$D22</f>
        <v>0</v>
      </c>
      <c r="H22" s="67">
        <f>F22-G22</f>
        <v>0</v>
      </c>
      <c r="I22" s="66"/>
      <c r="J22" s="34">
        <f>I22*$C22*(1+'Cost Summary'!$C$70)</f>
        <v>0</v>
      </c>
      <c r="K22" s="34">
        <f>I22*$D22</f>
        <v>0</v>
      </c>
      <c r="L22" s="67">
        <f>J22-K22</f>
        <v>0</v>
      </c>
      <c r="M22" s="66"/>
      <c r="N22" s="34">
        <f>M22*$C22*(1+'Cost Summary'!$C$70)^2</f>
        <v>0</v>
      </c>
      <c r="O22" s="34">
        <f>M22*$D22</f>
        <v>0</v>
      </c>
      <c r="P22" s="67">
        <f>N22-O22</f>
        <v>0</v>
      </c>
      <c r="Q22" s="66"/>
      <c r="R22" s="34">
        <f>Q22*$C22*(1+'Cost Summary'!$C$70)^3</f>
        <v>0</v>
      </c>
      <c r="S22" s="34">
        <f>Q22*$D22</f>
        <v>0</v>
      </c>
      <c r="T22" s="67">
        <f>R22-S22</f>
        <v>0</v>
      </c>
      <c r="U22" s="66"/>
      <c r="V22" s="34">
        <f>U22*$C22*(1+'Cost Summary'!$C$70)^4</f>
        <v>0</v>
      </c>
      <c r="W22" s="34">
        <f>U22*$D22</f>
        <v>0</v>
      </c>
      <c r="X22" s="67">
        <f>V22-W22</f>
        <v>0</v>
      </c>
      <c r="Y22" s="116">
        <f t="shared" ref="Y22:AB23" si="2">SUM(E22,I22,M22,Q22,U22)</f>
        <v>0</v>
      </c>
      <c r="Z22" s="34">
        <f t="shared" si="2"/>
        <v>0</v>
      </c>
      <c r="AA22" s="34">
        <f t="shared" si="2"/>
        <v>0</v>
      </c>
      <c r="AB22" s="67">
        <f t="shared" si="2"/>
        <v>0</v>
      </c>
    </row>
    <row r="23" spans="1:28">
      <c r="A23" s="64" t="s">
        <v>99</v>
      </c>
      <c r="B23" s="31" t="s">
        <v>98</v>
      </c>
      <c r="C23" s="34">
        <v>110</v>
      </c>
      <c r="D23" s="65">
        <v>110</v>
      </c>
      <c r="E23" s="66"/>
      <c r="F23" s="34">
        <f>E23*$C23</f>
        <v>0</v>
      </c>
      <c r="G23" s="34">
        <f>E23*$D23</f>
        <v>0</v>
      </c>
      <c r="H23" s="67">
        <f>F23-G23</f>
        <v>0</v>
      </c>
      <c r="I23" s="66"/>
      <c r="J23" s="34">
        <f>I23*$C23*(1+'Cost Summary'!$C$70)</f>
        <v>0</v>
      </c>
      <c r="K23" s="34">
        <f>I23*$D23</f>
        <v>0</v>
      </c>
      <c r="L23" s="67">
        <f>J23-K23</f>
        <v>0</v>
      </c>
      <c r="M23" s="66"/>
      <c r="N23" s="34">
        <f>M23*$C23*(1+'Cost Summary'!$C$70)^2</f>
        <v>0</v>
      </c>
      <c r="O23" s="34">
        <f>M23*$D23</f>
        <v>0</v>
      </c>
      <c r="P23" s="67">
        <f>N23-O23</f>
        <v>0</v>
      </c>
      <c r="Q23" s="66"/>
      <c r="R23" s="34">
        <f>Q23*$C23*(1+'Cost Summary'!$C$70)^3</f>
        <v>0</v>
      </c>
      <c r="S23" s="34">
        <f>Q23*$D23</f>
        <v>0</v>
      </c>
      <c r="T23" s="67">
        <f>R23-S23</f>
        <v>0</v>
      </c>
      <c r="U23" s="66"/>
      <c r="V23" s="34">
        <f>U23*$C23*(1+'Cost Summary'!$C$70)^4</f>
        <v>0</v>
      </c>
      <c r="W23" s="34">
        <f>U23*$D23</f>
        <v>0</v>
      </c>
      <c r="X23" s="67">
        <f>V23-W23</f>
        <v>0</v>
      </c>
      <c r="Y23" s="116">
        <f t="shared" si="2"/>
        <v>0</v>
      </c>
      <c r="Z23" s="34">
        <f t="shared" si="2"/>
        <v>0</v>
      </c>
      <c r="AA23" s="34">
        <f t="shared" si="2"/>
        <v>0</v>
      </c>
      <c r="AB23" s="67">
        <f t="shared" si="2"/>
        <v>0</v>
      </c>
    </row>
    <row r="24" spans="1:28">
      <c r="A24" s="64" t="s">
        <v>100</v>
      </c>
      <c r="B24" s="31">
        <v>96001</v>
      </c>
      <c r="C24" s="34"/>
      <c r="D24" s="65"/>
      <c r="E24" s="66"/>
      <c r="F24" s="34">
        <f t="shared" ref="F24" si="3">E24*$C24</f>
        <v>0</v>
      </c>
      <c r="G24" s="34">
        <f t="shared" ref="G24" si="4">E24*$D24</f>
        <v>0</v>
      </c>
      <c r="H24" s="67">
        <f t="shared" ref="H24" si="5">F24-G24</f>
        <v>0</v>
      </c>
      <c r="I24" s="66"/>
      <c r="J24" s="34">
        <f>I24*$C24*(1+'Cost Summary'!$C$70)</f>
        <v>0</v>
      </c>
      <c r="K24" s="34">
        <f t="shared" ref="K24:K56" si="6">I24*$D24</f>
        <v>0</v>
      </c>
      <c r="L24" s="67">
        <f t="shared" ref="L24:L56" si="7">J24-K24</f>
        <v>0</v>
      </c>
      <c r="M24" s="66"/>
      <c r="N24" s="34">
        <f>M24*$C24*(1+'Cost Summary'!$C$70)^2</f>
        <v>0</v>
      </c>
      <c r="O24" s="34">
        <f t="shared" ref="O24:O56" si="8">M24*$D24</f>
        <v>0</v>
      </c>
      <c r="P24" s="67">
        <f t="shared" ref="P24:P56" si="9">N24-O24</f>
        <v>0</v>
      </c>
      <c r="Q24" s="66"/>
      <c r="R24" s="34">
        <f>Q24*$C24*(1+'Cost Summary'!$C$70)^3</f>
        <v>0</v>
      </c>
      <c r="S24" s="34">
        <f t="shared" ref="S24:S56" si="10">Q24*$D24</f>
        <v>0</v>
      </c>
      <c r="T24" s="67">
        <f t="shared" ref="T24:T56" si="11">R24-S24</f>
        <v>0</v>
      </c>
      <c r="U24" s="66"/>
      <c r="V24" s="34">
        <f>U24*$C24*(1+'Cost Summary'!$C$70)^4</f>
        <v>0</v>
      </c>
      <c r="W24" s="34">
        <f t="shared" ref="W24:W56" si="12">U24*$D24</f>
        <v>0</v>
      </c>
      <c r="X24" s="67">
        <f t="shared" ref="X24:X56" si="13">V24-W24</f>
        <v>0</v>
      </c>
      <c r="Y24" s="116">
        <f t="shared" ref="Y24:Y56" si="14">SUM(E24,I24,M24,Q24,U24)</f>
        <v>0</v>
      </c>
      <c r="Z24" s="34">
        <f t="shared" ref="Z24:Z56" si="15">SUM(F24,J24,N24,R24,V24)</f>
        <v>0</v>
      </c>
      <c r="AA24" s="34">
        <f t="shared" ref="AA24:AA56" si="16">SUM(G24,K24,O24,S24,W24)</f>
        <v>0</v>
      </c>
      <c r="AB24" s="67">
        <f t="shared" ref="AB24:AB56" si="17">SUM(H24,L24,P24,T24,X24)</f>
        <v>0</v>
      </c>
    </row>
    <row r="25" spans="1:28">
      <c r="A25" s="64" t="s">
        <v>101</v>
      </c>
      <c r="B25" s="31">
        <v>96002</v>
      </c>
      <c r="C25" s="34"/>
      <c r="D25" s="65"/>
      <c r="E25" s="66"/>
      <c r="F25" s="34">
        <f t="shared" ref="F25:F56" si="18">E25*$C25</f>
        <v>0</v>
      </c>
      <c r="G25" s="34">
        <f t="shared" ref="G25:G56" si="19">E25*$D25</f>
        <v>0</v>
      </c>
      <c r="H25" s="67">
        <f t="shared" ref="H25:H56" si="20">F25-G25</f>
        <v>0</v>
      </c>
      <c r="I25" s="66"/>
      <c r="J25" s="34">
        <f>I25*$C25*(1+'Cost Summary'!$C$70)</f>
        <v>0</v>
      </c>
      <c r="K25" s="34">
        <f t="shared" si="6"/>
        <v>0</v>
      </c>
      <c r="L25" s="67">
        <f t="shared" si="7"/>
        <v>0</v>
      </c>
      <c r="M25" s="66"/>
      <c r="N25" s="34">
        <f>M25*$C25*(1+'Cost Summary'!$C$70)^2</f>
        <v>0</v>
      </c>
      <c r="O25" s="34">
        <f t="shared" si="8"/>
        <v>0</v>
      </c>
      <c r="P25" s="67">
        <f t="shared" si="9"/>
        <v>0</v>
      </c>
      <c r="Q25" s="66"/>
      <c r="R25" s="34">
        <f>Q25*$C25*(1+'Cost Summary'!$C$70)^3</f>
        <v>0</v>
      </c>
      <c r="S25" s="34">
        <f t="shared" si="10"/>
        <v>0</v>
      </c>
      <c r="T25" s="67">
        <f t="shared" si="11"/>
        <v>0</v>
      </c>
      <c r="U25" s="66"/>
      <c r="V25" s="34">
        <f>U25*$C25*(1+'Cost Summary'!$C$70)^4</f>
        <v>0</v>
      </c>
      <c r="W25" s="34">
        <f t="shared" si="12"/>
        <v>0</v>
      </c>
      <c r="X25" s="67">
        <f t="shared" si="13"/>
        <v>0</v>
      </c>
      <c r="Y25" s="116">
        <f t="shared" si="14"/>
        <v>0</v>
      </c>
      <c r="Z25" s="34">
        <f t="shared" si="15"/>
        <v>0</v>
      </c>
      <c r="AA25" s="34">
        <f t="shared" si="16"/>
        <v>0</v>
      </c>
      <c r="AB25" s="67">
        <f t="shared" si="17"/>
        <v>0</v>
      </c>
    </row>
    <row r="26" spans="1:28">
      <c r="A26" s="64" t="s">
        <v>102</v>
      </c>
      <c r="B26" s="31">
        <v>36415</v>
      </c>
      <c r="C26" s="34"/>
      <c r="D26" s="65"/>
      <c r="E26" s="66"/>
      <c r="F26" s="34">
        <f t="shared" si="18"/>
        <v>0</v>
      </c>
      <c r="G26" s="34">
        <f t="shared" si="19"/>
        <v>0</v>
      </c>
      <c r="H26" s="67">
        <f t="shared" si="20"/>
        <v>0</v>
      </c>
      <c r="I26" s="66"/>
      <c r="J26" s="34">
        <f>I26*$C26*(1+'Cost Summary'!$C$70)</f>
        <v>0</v>
      </c>
      <c r="K26" s="34">
        <f t="shared" si="6"/>
        <v>0</v>
      </c>
      <c r="L26" s="67">
        <f t="shared" si="7"/>
        <v>0</v>
      </c>
      <c r="M26" s="66"/>
      <c r="N26" s="34">
        <f>M26*$C26*(1+'Cost Summary'!$C$70)^2</f>
        <v>0</v>
      </c>
      <c r="O26" s="34">
        <f t="shared" si="8"/>
        <v>0</v>
      </c>
      <c r="P26" s="67">
        <f t="shared" si="9"/>
        <v>0</v>
      </c>
      <c r="Q26" s="66"/>
      <c r="R26" s="34">
        <f>Q26*$C26*(1+'Cost Summary'!$C$70)^3</f>
        <v>0</v>
      </c>
      <c r="S26" s="34">
        <f t="shared" si="10"/>
        <v>0</v>
      </c>
      <c r="T26" s="67">
        <f t="shared" si="11"/>
        <v>0</v>
      </c>
      <c r="U26" s="66"/>
      <c r="V26" s="34">
        <f>U26*$C26*(1+'Cost Summary'!$C$70)^4</f>
        <v>0</v>
      </c>
      <c r="W26" s="34">
        <f t="shared" si="12"/>
        <v>0</v>
      </c>
      <c r="X26" s="67">
        <f t="shared" si="13"/>
        <v>0</v>
      </c>
      <c r="Y26" s="116">
        <f t="shared" si="14"/>
        <v>0</v>
      </c>
      <c r="Z26" s="34">
        <f t="shared" si="15"/>
        <v>0</v>
      </c>
      <c r="AA26" s="34">
        <f t="shared" si="16"/>
        <v>0</v>
      </c>
      <c r="AB26" s="67">
        <f t="shared" si="17"/>
        <v>0</v>
      </c>
    </row>
    <row r="27" spans="1:28">
      <c r="A27" s="64" t="s">
        <v>103</v>
      </c>
      <c r="B27" s="31">
        <v>80048</v>
      </c>
      <c r="C27" s="34"/>
      <c r="D27" s="65"/>
      <c r="E27" s="66"/>
      <c r="F27" s="34">
        <f t="shared" si="18"/>
        <v>0</v>
      </c>
      <c r="G27" s="34">
        <f t="shared" si="19"/>
        <v>0</v>
      </c>
      <c r="H27" s="67">
        <f t="shared" si="20"/>
        <v>0</v>
      </c>
      <c r="I27" s="66"/>
      <c r="J27" s="34">
        <f>I27*$C27*(1+'Cost Summary'!$C$70)</f>
        <v>0</v>
      </c>
      <c r="K27" s="34">
        <f t="shared" si="6"/>
        <v>0</v>
      </c>
      <c r="L27" s="67">
        <f t="shared" si="7"/>
        <v>0</v>
      </c>
      <c r="M27" s="66"/>
      <c r="N27" s="34">
        <f>M27*$C27*(1+'Cost Summary'!$C$70)^2</f>
        <v>0</v>
      </c>
      <c r="O27" s="34">
        <f t="shared" si="8"/>
        <v>0</v>
      </c>
      <c r="P27" s="67">
        <f t="shared" si="9"/>
        <v>0</v>
      </c>
      <c r="Q27" s="66"/>
      <c r="R27" s="34">
        <f>Q27*$C27*(1+'Cost Summary'!$C$70)^3</f>
        <v>0</v>
      </c>
      <c r="S27" s="34">
        <f t="shared" si="10"/>
        <v>0</v>
      </c>
      <c r="T27" s="67">
        <f t="shared" si="11"/>
        <v>0</v>
      </c>
      <c r="U27" s="66"/>
      <c r="V27" s="34">
        <f>U27*$C27*(1+'Cost Summary'!$C$70)^4</f>
        <v>0</v>
      </c>
      <c r="W27" s="34">
        <f t="shared" si="12"/>
        <v>0</v>
      </c>
      <c r="X27" s="67">
        <f t="shared" si="13"/>
        <v>0</v>
      </c>
      <c r="Y27" s="116">
        <f t="shared" si="14"/>
        <v>0</v>
      </c>
      <c r="Z27" s="34">
        <f t="shared" si="15"/>
        <v>0</v>
      </c>
      <c r="AA27" s="34">
        <f t="shared" si="16"/>
        <v>0</v>
      </c>
      <c r="AB27" s="67">
        <f t="shared" si="17"/>
        <v>0</v>
      </c>
    </row>
    <row r="28" spans="1:28">
      <c r="A28" s="64" t="s">
        <v>104</v>
      </c>
      <c r="B28" s="31">
        <v>80053</v>
      </c>
      <c r="C28" s="34"/>
      <c r="D28" s="65"/>
      <c r="E28" s="66"/>
      <c r="F28" s="34">
        <f t="shared" si="18"/>
        <v>0</v>
      </c>
      <c r="G28" s="34">
        <f t="shared" si="19"/>
        <v>0</v>
      </c>
      <c r="H28" s="67">
        <f t="shared" si="20"/>
        <v>0</v>
      </c>
      <c r="I28" s="66"/>
      <c r="J28" s="34">
        <f>I28*$C28*(1+'Cost Summary'!$C$70)</f>
        <v>0</v>
      </c>
      <c r="K28" s="34">
        <f t="shared" si="6"/>
        <v>0</v>
      </c>
      <c r="L28" s="67">
        <f t="shared" si="7"/>
        <v>0</v>
      </c>
      <c r="M28" s="66"/>
      <c r="N28" s="34">
        <f>M28*$C28*(1+'Cost Summary'!$C$70)^2</f>
        <v>0</v>
      </c>
      <c r="O28" s="34">
        <f t="shared" si="8"/>
        <v>0</v>
      </c>
      <c r="P28" s="67">
        <f t="shared" si="9"/>
        <v>0</v>
      </c>
      <c r="Q28" s="66"/>
      <c r="R28" s="34">
        <f>Q28*$C28*(1+'Cost Summary'!$C$70)^3</f>
        <v>0</v>
      </c>
      <c r="S28" s="34">
        <f t="shared" si="10"/>
        <v>0</v>
      </c>
      <c r="T28" s="67">
        <f t="shared" si="11"/>
        <v>0</v>
      </c>
      <c r="U28" s="66"/>
      <c r="V28" s="34">
        <f>U28*$C28*(1+'Cost Summary'!$C$70)^4</f>
        <v>0</v>
      </c>
      <c r="W28" s="34">
        <f t="shared" si="12"/>
        <v>0</v>
      </c>
      <c r="X28" s="67">
        <f t="shared" si="13"/>
        <v>0</v>
      </c>
      <c r="Y28" s="116">
        <f t="shared" si="14"/>
        <v>0</v>
      </c>
      <c r="Z28" s="34">
        <f t="shared" si="15"/>
        <v>0</v>
      </c>
      <c r="AA28" s="34">
        <f t="shared" si="16"/>
        <v>0</v>
      </c>
      <c r="AB28" s="67">
        <f t="shared" si="17"/>
        <v>0</v>
      </c>
    </row>
    <row r="29" spans="1:28">
      <c r="A29" s="31" t="s">
        <v>105</v>
      </c>
      <c r="B29" s="31">
        <v>81001</v>
      </c>
      <c r="C29" s="34"/>
      <c r="D29" s="65"/>
      <c r="E29" s="66"/>
      <c r="F29" s="34">
        <f t="shared" si="18"/>
        <v>0</v>
      </c>
      <c r="G29" s="34">
        <f t="shared" si="19"/>
        <v>0</v>
      </c>
      <c r="H29" s="67">
        <f t="shared" si="20"/>
        <v>0</v>
      </c>
      <c r="I29" s="66"/>
      <c r="J29" s="34">
        <f>I29*$C29*(1+'Cost Summary'!$C$70)</f>
        <v>0</v>
      </c>
      <c r="K29" s="34">
        <f t="shared" si="6"/>
        <v>0</v>
      </c>
      <c r="L29" s="67">
        <f t="shared" si="7"/>
        <v>0</v>
      </c>
      <c r="M29" s="66"/>
      <c r="N29" s="34">
        <f>M29*$C29*(1+'Cost Summary'!$C$70)^2</f>
        <v>0</v>
      </c>
      <c r="O29" s="34">
        <f t="shared" si="8"/>
        <v>0</v>
      </c>
      <c r="P29" s="67">
        <f t="shared" si="9"/>
        <v>0</v>
      </c>
      <c r="Q29" s="66"/>
      <c r="R29" s="34">
        <f>Q29*$C29*(1+'Cost Summary'!$C$70)^3</f>
        <v>0</v>
      </c>
      <c r="S29" s="34">
        <f t="shared" si="10"/>
        <v>0</v>
      </c>
      <c r="T29" s="67">
        <f t="shared" si="11"/>
        <v>0</v>
      </c>
      <c r="U29" s="66"/>
      <c r="V29" s="34">
        <f>U29*$C29*(1+'Cost Summary'!$C$70)^4</f>
        <v>0</v>
      </c>
      <c r="W29" s="34">
        <f t="shared" si="12"/>
        <v>0</v>
      </c>
      <c r="X29" s="67">
        <f t="shared" si="13"/>
        <v>0</v>
      </c>
      <c r="Y29" s="116">
        <f t="shared" si="14"/>
        <v>0</v>
      </c>
      <c r="Z29" s="34">
        <f t="shared" si="15"/>
        <v>0</v>
      </c>
      <c r="AA29" s="34">
        <f t="shared" si="16"/>
        <v>0</v>
      </c>
      <c r="AB29" s="67">
        <f t="shared" si="17"/>
        <v>0</v>
      </c>
    </row>
    <row r="30" spans="1:28">
      <c r="A30" s="31" t="s">
        <v>106</v>
      </c>
      <c r="B30" s="31">
        <v>82010</v>
      </c>
      <c r="C30" s="34"/>
      <c r="D30" s="65"/>
      <c r="E30" s="66"/>
      <c r="F30" s="34">
        <f t="shared" si="18"/>
        <v>0</v>
      </c>
      <c r="G30" s="34">
        <f t="shared" si="19"/>
        <v>0</v>
      </c>
      <c r="H30" s="67">
        <f t="shared" si="20"/>
        <v>0</v>
      </c>
      <c r="I30" s="66"/>
      <c r="J30" s="34">
        <f>I30*$C30*(1+'Cost Summary'!$C$70)</f>
        <v>0</v>
      </c>
      <c r="K30" s="34">
        <f t="shared" si="6"/>
        <v>0</v>
      </c>
      <c r="L30" s="67">
        <f t="shared" si="7"/>
        <v>0</v>
      </c>
      <c r="M30" s="66"/>
      <c r="N30" s="34">
        <f>M30*$C30*(1+'Cost Summary'!$C$70)^2</f>
        <v>0</v>
      </c>
      <c r="O30" s="34">
        <f t="shared" si="8"/>
        <v>0</v>
      </c>
      <c r="P30" s="67">
        <f t="shared" si="9"/>
        <v>0</v>
      </c>
      <c r="Q30" s="66"/>
      <c r="R30" s="34">
        <f>Q30*$C30*(1+'Cost Summary'!$C$70)^3</f>
        <v>0</v>
      </c>
      <c r="S30" s="34">
        <f t="shared" si="10"/>
        <v>0</v>
      </c>
      <c r="T30" s="67">
        <f t="shared" si="11"/>
        <v>0</v>
      </c>
      <c r="U30" s="66"/>
      <c r="V30" s="34">
        <f>U30*$C30*(1+'Cost Summary'!$C$70)^4</f>
        <v>0</v>
      </c>
      <c r="W30" s="34">
        <f t="shared" si="12"/>
        <v>0</v>
      </c>
      <c r="X30" s="67">
        <f t="shared" si="13"/>
        <v>0</v>
      </c>
      <c r="Y30" s="116">
        <f t="shared" si="14"/>
        <v>0</v>
      </c>
      <c r="Z30" s="34">
        <f t="shared" si="15"/>
        <v>0</v>
      </c>
      <c r="AA30" s="34">
        <f t="shared" si="16"/>
        <v>0</v>
      </c>
      <c r="AB30" s="67">
        <f t="shared" si="17"/>
        <v>0</v>
      </c>
    </row>
    <row r="31" spans="1:28">
      <c r="A31" s="31" t="s">
        <v>107</v>
      </c>
      <c r="B31" s="31">
        <v>82947</v>
      </c>
      <c r="C31" s="34"/>
      <c r="D31" s="65"/>
      <c r="E31" s="66"/>
      <c r="F31" s="34">
        <f t="shared" si="18"/>
        <v>0</v>
      </c>
      <c r="G31" s="34">
        <f t="shared" si="19"/>
        <v>0</v>
      </c>
      <c r="H31" s="67">
        <f t="shared" si="20"/>
        <v>0</v>
      </c>
      <c r="I31" s="66"/>
      <c r="J31" s="34">
        <f>I31*$C31*(1+'Cost Summary'!$C$70)</f>
        <v>0</v>
      </c>
      <c r="K31" s="34">
        <f t="shared" si="6"/>
        <v>0</v>
      </c>
      <c r="L31" s="67">
        <f t="shared" si="7"/>
        <v>0</v>
      </c>
      <c r="M31" s="66"/>
      <c r="N31" s="34">
        <f>M31*$C31*(1+'Cost Summary'!$C$70)^2</f>
        <v>0</v>
      </c>
      <c r="O31" s="34">
        <f t="shared" si="8"/>
        <v>0</v>
      </c>
      <c r="P31" s="67">
        <f t="shared" si="9"/>
        <v>0</v>
      </c>
      <c r="Q31" s="66"/>
      <c r="R31" s="34">
        <f>Q31*$C31*(1+'Cost Summary'!$C$70)^3</f>
        <v>0</v>
      </c>
      <c r="S31" s="34">
        <f t="shared" si="10"/>
        <v>0</v>
      </c>
      <c r="T31" s="67">
        <f t="shared" si="11"/>
        <v>0</v>
      </c>
      <c r="U31" s="66"/>
      <c r="V31" s="34">
        <f>U31*$C31*(1+'Cost Summary'!$C$70)^4</f>
        <v>0</v>
      </c>
      <c r="W31" s="34">
        <f t="shared" si="12"/>
        <v>0</v>
      </c>
      <c r="X31" s="67">
        <f t="shared" si="13"/>
        <v>0</v>
      </c>
      <c r="Y31" s="116">
        <f t="shared" si="14"/>
        <v>0</v>
      </c>
      <c r="Z31" s="34">
        <f t="shared" si="15"/>
        <v>0</v>
      </c>
      <c r="AA31" s="34">
        <f t="shared" si="16"/>
        <v>0</v>
      </c>
      <c r="AB31" s="67">
        <f t="shared" si="17"/>
        <v>0</v>
      </c>
    </row>
    <row r="32" spans="1:28">
      <c r="A32" s="31" t="s">
        <v>108</v>
      </c>
      <c r="B32" s="31">
        <v>83735</v>
      </c>
      <c r="C32" s="34"/>
      <c r="D32" s="65"/>
      <c r="E32" s="66"/>
      <c r="F32" s="34">
        <f t="shared" si="18"/>
        <v>0</v>
      </c>
      <c r="G32" s="34">
        <f t="shared" si="19"/>
        <v>0</v>
      </c>
      <c r="H32" s="67">
        <f t="shared" si="20"/>
        <v>0</v>
      </c>
      <c r="I32" s="66"/>
      <c r="J32" s="34">
        <f>I32*$C32*(1+'Cost Summary'!$C$70)</f>
        <v>0</v>
      </c>
      <c r="K32" s="34">
        <f t="shared" si="6"/>
        <v>0</v>
      </c>
      <c r="L32" s="67">
        <f t="shared" si="7"/>
        <v>0</v>
      </c>
      <c r="M32" s="66"/>
      <c r="N32" s="34">
        <f>M32*$C32*(1+'Cost Summary'!$C$70)^2</f>
        <v>0</v>
      </c>
      <c r="O32" s="34">
        <f t="shared" si="8"/>
        <v>0</v>
      </c>
      <c r="P32" s="67">
        <f t="shared" si="9"/>
        <v>0</v>
      </c>
      <c r="Q32" s="66"/>
      <c r="R32" s="34">
        <f>Q32*$C32*(1+'Cost Summary'!$C$70)^3</f>
        <v>0</v>
      </c>
      <c r="S32" s="34">
        <f t="shared" si="10"/>
        <v>0</v>
      </c>
      <c r="T32" s="67">
        <f t="shared" si="11"/>
        <v>0</v>
      </c>
      <c r="U32" s="66"/>
      <c r="V32" s="34">
        <f>U32*$C32*(1+'Cost Summary'!$C$70)^4</f>
        <v>0</v>
      </c>
      <c r="W32" s="34">
        <f t="shared" si="12"/>
        <v>0</v>
      </c>
      <c r="X32" s="67">
        <f t="shared" si="13"/>
        <v>0</v>
      </c>
      <c r="Y32" s="116">
        <f t="shared" si="14"/>
        <v>0</v>
      </c>
      <c r="Z32" s="34">
        <f t="shared" si="15"/>
        <v>0</v>
      </c>
      <c r="AA32" s="34">
        <f t="shared" si="16"/>
        <v>0</v>
      </c>
      <c r="AB32" s="67">
        <f t="shared" si="17"/>
        <v>0</v>
      </c>
    </row>
    <row r="33" spans="1:28">
      <c r="A33" s="31" t="s">
        <v>109</v>
      </c>
      <c r="B33" s="31">
        <v>84100</v>
      </c>
      <c r="C33" s="34"/>
      <c r="D33" s="65"/>
      <c r="E33" s="66"/>
      <c r="F33" s="34">
        <f t="shared" si="18"/>
        <v>0</v>
      </c>
      <c r="G33" s="34">
        <f t="shared" si="19"/>
        <v>0</v>
      </c>
      <c r="H33" s="67">
        <f t="shared" si="20"/>
        <v>0</v>
      </c>
      <c r="I33" s="66"/>
      <c r="J33" s="34">
        <f>I33*$C33*(1+'Cost Summary'!$C$70)</f>
        <v>0</v>
      </c>
      <c r="K33" s="34">
        <f t="shared" si="6"/>
        <v>0</v>
      </c>
      <c r="L33" s="67">
        <f t="shared" si="7"/>
        <v>0</v>
      </c>
      <c r="M33" s="66"/>
      <c r="N33" s="34">
        <f>M33*$C33*(1+'Cost Summary'!$C$70)^2</f>
        <v>0</v>
      </c>
      <c r="O33" s="34">
        <f t="shared" si="8"/>
        <v>0</v>
      </c>
      <c r="P33" s="67">
        <f t="shared" si="9"/>
        <v>0</v>
      </c>
      <c r="Q33" s="66"/>
      <c r="R33" s="34">
        <f>Q33*$C33*(1+'Cost Summary'!$C$70)^3</f>
        <v>0</v>
      </c>
      <c r="S33" s="34">
        <f t="shared" si="10"/>
        <v>0</v>
      </c>
      <c r="T33" s="67">
        <f t="shared" si="11"/>
        <v>0</v>
      </c>
      <c r="U33" s="66"/>
      <c r="V33" s="34">
        <f>U33*$C33*(1+'Cost Summary'!$C$70)^4</f>
        <v>0</v>
      </c>
      <c r="W33" s="34">
        <f t="shared" si="12"/>
        <v>0</v>
      </c>
      <c r="X33" s="67">
        <f t="shared" si="13"/>
        <v>0</v>
      </c>
      <c r="Y33" s="116">
        <f t="shared" si="14"/>
        <v>0</v>
      </c>
      <c r="Z33" s="34">
        <f t="shared" si="15"/>
        <v>0</v>
      </c>
      <c r="AA33" s="34">
        <f t="shared" si="16"/>
        <v>0</v>
      </c>
      <c r="AB33" s="67">
        <f t="shared" si="17"/>
        <v>0</v>
      </c>
    </row>
    <row r="34" spans="1:28">
      <c r="A34" s="31" t="s">
        <v>110</v>
      </c>
      <c r="B34" s="31">
        <v>84134</v>
      </c>
      <c r="C34" s="34"/>
      <c r="D34" s="65"/>
      <c r="E34" s="66"/>
      <c r="F34" s="34">
        <f t="shared" si="18"/>
        <v>0</v>
      </c>
      <c r="G34" s="34">
        <f t="shared" si="19"/>
        <v>0</v>
      </c>
      <c r="H34" s="67">
        <f t="shared" si="20"/>
        <v>0</v>
      </c>
      <c r="I34" s="66"/>
      <c r="J34" s="34">
        <f>I34*$C34*(1+'Cost Summary'!$C$70)</f>
        <v>0</v>
      </c>
      <c r="K34" s="34">
        <f t="shared" si="6"/>
        <v>0</v>
      </c>
      <c r="L34" s="67">
        <f t="shared" si="7"/>
        <v>0</v>
      </c>
      <c r="M34" s="66"/>
      <c r="N34" s="34">
        <f>M34*$C34*(1+'Cost Summary'!$C$70)^2</f>
        <v>0</v>
      </c>
      <c r="O34" s="34">
        <f t="shared" si="8"/>
        <v>0</v>
      </c>
      <c r="P34" s="67">
        <f t="shared" si="9"/>
        <v>0</v>
      </c>
      <c r="Q34" s="66"/>
      <c r="R34" s="34">
        <f>Q34*$C34*(1+'Cost Summary'!$C$70)^3</f>
        <v>0</v>
      </c>
      <c r="S34" s="34">
        <f t="shared" si="10"/>
        <v>0</v>
      </c>
      <c r="T34" s="67">
        <f t="shared" si="11"/>
        <v>0</v>
      </c>
      <c r="U34" s="66"/>
      <c r="V34" s="34">
        <f>U34*$C34*(1+'Cost Summary'!$C$70)^4</f>
        <v>0</v>
      </c>
      <c r="W34" s="34">
        <f t="shared" si="12"/>
        <v>0</v>
      </c>
      <c r="X34" s="67">
        <f t="shared" si="13"/>
        <v>0</v>
      </c>
      <c r="Y34" s="116">
        <f t="shared" si="14"/>
        <v>0</v>
      </c>
      <c r="Z34" s="34">
        <f t="shared" si="15"/>
        <v>0</v>
      </c>
      <c r="AA34" s="34">
        <f t="shared" si="16"/>
        <v>0</v>
      </c>
      <c r="AB34" s="67">
        <f t="shared" si="17"/>
        <v>0</v>
      </c>
    </row>
    <row r="35" spans="1:28">
      <c r="A35" s="31" t="s">
        <v>111</v>
      </c>
      <c r="B35" s="31">
        <v>84550</v>
      </c>
      <c r="C35" s="34"/>
      <c r="D35" s="65"/>
      <c r="E35" s="66"/>
      <c r="F35" s="34">
        <f t="shared" si="18"/>
        <v>0</v>
      </c>
      <c r="G35" s="34">
        <f t="shared" si="19"/>
        <v>0</v>
      </c>
      <c r="H35" s="67">
        <f t="shared" si="20"/>
        <v>0</v>
      </c>
      <c r="I35" s="66"/>
      <c r="J35" s="34">
        <f>I35*$C35*(1+'Cost Summary'!$C$70)</f>
        <v>0</v>
      </c>
      <c r="K35" s="34">
        <f t="shared" si="6"/>
        <v>0</v>
      </c>
      <c r="L35" s="67">
        <f t="shared" si="7"/>
        <v>0</v>
      </c>
      <c r="M35" s="66"/>
      <c r="N35" s="34">
        <f>M35*$C35*(1+'Cost Summary'!$C$70)^2</f>
        <v>0</v>
      </c>
      <c r="O35" s="34">
        <f t="shared" si="8"/>
        <v>0</v>
      </c>
      <c r="P35" s="67">
        <f t="shared" si="9"/>
        <v>0</v>
      </c>
      <c r="Q35" s="66"/>
      <c r="R35" s="34">
        <f>Q35*$C35*(1+'Cost Summary'!$C$70)^3</f>
        <v>0</v>
      </c>
      <c r="S35" s="34">
        <f t="shared" si="10"/>
        <v>0</v>
      </c>
      <c r="T35" s="67">
        <f t="shared" si="11"/>
        <v>0</v>
      </c>
      <c r="U35" s="66"/>
      <c r="V35" s="34">
        <f>U35*$C35*(1+'Cost Summary'!$C$70)^4</f>
        <v>0</v>
      </c>
      <c r="W35" s="34">
        <f t="shared" si="12"/>
        <v>0</v>
      </c>
      <c r="X35" s="67">
        <f t="shared" si="13"/>
        <v>0</v>
      </c>
      <c r="Y35" s="116">
        <f t="shared" si="14"/>
        <v>0</v>
      </c>
      <c r="Z35" s="34">
        <f t="shared" si="15"/>
        <v>0</v>
      </c>
      <c r="AA35" s="34">
        <f t="shared" si="16"/>
        <v>0</v>
      </c>
      <c r="AB35" s="67">
        <f t="shared" si="17"/>
        <v>0</v>
      </c>
    </row>
    <row r="36" spans="1:28">
      <c r="A36" s="31" t="s">
        <v>112</v>
      </c>
      <c r="B36" s="31">
        <v>85025</v>
      </c>
      <c r="C36" s="68"/>
      <c r="D36" s="65"/>
      <c r="E36" s="66"/>
      <c r="F36" s="34">
        <f t="shared" si="18"/>
        <v>0</v>
      </c>
      <c r="G36" s="34">
        <f t="shared" si="19"/>
        <v>0</v>
      </c>
      <c r="H36" s="67">
        <f t="shared" si="20"/>
        <v>0</v>
      </c>
      <c r="I36" s="66"/>
      <c r="J36" s="34">
        <f>I36*$C36*(1+'Cost Summary'!$C$70)</f>
        <v>0</v>
      </c>
      <c r="K36" s="34">
        <f t="shared" si="6"/>
        <v>0</v>
      </c>
      <c r="L36" s="67">
        <f t="shared" si="7"/>
        <v>0</v>
      </c>
      <c r="M36" s="66"/>
      <c r="N36" s="34">
        <f>M36*$C36*(1+'Cost Summary'!$C$70)^2</f>
        <v>0</v>
      </c>
      <c r="O36" s="34">
        <f t="shared" si="8"/>
        <v>0</v>
      </c>
      <c r="P36" s="67">
        <f t="shared" si="9"/>
        <v>0</v>
      </c>
      <c r="Q36" s="66"/>
      <c r="R36" s="34">
        <f>Q36*$C36*(1+'Cost Summary'!$C$70)^3</f>
        <v>0</v>
      </c>
      <c r="S36" s="34">
        <f t="shared" si="10"/>
        <v>0</v>
      </c>
      <c r="T36" s="67">
        <f t="shared" si="11"/>
        <v>0</v>
      </c>
      <c r="U36" s="66"/>
      <c r="V36" s="34">
        <f>U36*$C36*(1+'Cost Summary'!$C$70)^4</f>
        <v>0</v>
      </c>
      <c r="W36" s="34">
        <f t="shared" si="12"/>
        <v>0</v>
      </c>
      <c r="X36" s="67">
        <f t="shared" si="13"/>
        <v>0</v>
      </c>
      <c r="Y36" s="116">
        <f t="shared" si="14"/>
        <v>0</v>
      </c>
      <c r="Z36" s="34">
        <f t="shared" si="15"/>
        <v>0</v>
      </c>
      <c r="AA36" s="34">
        <f t="shared" si="16"/>
        <v>0</v>
      </c>
      <c r="AB36" s="67">
        <f t="shared" si="17"/>
        <v>0</v>
      </c>
    </row>
    <row r="37" spans="1:28">
      <c r="A37" s="31" t="s">
        <v>113</v>
      </c>
      <c r="B37" s="31" t="s">
        <v>114</v>
      </c>
      <c r="C37" s="68"/>
      <c r="D37" s="65"/>
      <c r="E37" s="66"/>
      <c r="F37" s="34">
        <f t="shared" si="18"/>
        <v>0</v>
      </c>
      <c r="G37" s="34">
        <f t="shared" si="19"/>
        <v>0</v>
      </c>
      <c r="H37" s="67">
        <f t="shared" si="20"/>
        <v>0</v>
      </c>
      <c r="I37" s="66"/>
      <c r="J37" s="34">
        <f>I37*$C37*(1+'Cost Summary'!$C$70)</f>
        <v>0</v>
      </c>
      <c r="K37" s="34">
        <f t="shared" si="6"/>
        <v>0</v>
      </c>
      <c r="L37" s="67">
        <f t="shared" si="7"/>
        <v>0</v>
      </c>
      <c r="M37" s="66"/>
      <c r="N37" s="34">
        <f>M37*$C37*(1+'Cost Summary'!$C$70)^2</f>
        <v>0</v>
      </c>
      <c r="O37" s="34">
        <f t="shared" si="8"/>
        <v>0</v>
      </c>
      <c r="P37" s="67">
        <f t="shared" si="9"/>
        <v>0</v>
      </c>
      <c r="Q37" s="66"/>
      <c r="R37" s="34">
        <f>Q37*$C37*(1+'Cost Summary'!$C$70)^3</f>
        <v>0</v>
      </c>
      <c r="S37" s="34">
        <f t="shared" si="10"/>
        <v>0</v>
      </c>
      <c r="T37" s="67">
        <f t="shared" si="11"/>
        <v>0</v>
      </c>
      <c r="U37" s="66"/>
      <c r="V37" s="34">
        <f>U37*$C37*(1+'Cost Summary'!$C$70)^4</f>
        <v>0</v>
      </c>
      <c r="W37" s="34">
        <f t="shared" si="12"/>
        <v>0</v>
      </c>
      <c r="X37" s="67">
        <f t="shared" si="13"/>
        <v>0</v>
      </c>
      <c r="Y37" s="116">
        <f t="shared" si="14"/>
        <v>0</v>
      </c>
      <c r="Z37" s="34">
        <f t="shared" si="15"/>
        <v>0</v>
      </c>
      <c r="AA37" s="34">
        <f t="shared" si="16"/>
        <v>0</v>
      </c>
      <c r="AB37" s="67">
        <f t="shared" si="17"/>
        <v>0</v>
      </c>
    </row>
    <row r="38" spans="1:28">
      <c r="A38" s="31" t="s">
        <v>115</v>
      </c>
      <c r="B38" s="31" t="s">
        <v>116</v>
      </c>
      <c r="C38" s="68"/>
      <c r="D38" s="65"/>
      <c r="E38" s="66"/>
      <c r="F38" s="34">
        <f t="shared" si="18"/>
        <v>0</v>
      </c>
      <c r="G38" s="34">
        <f t="shared" si="19"/>
        <v>0</v>
      </c>
      <c r="H38" s="67">
        <f t="shared" si="20"/>
        <v>0</v>
      </c>
      <c r="I38" s="66"/>
      <c r="J38" s="34">
        <f>I38*$C38*(1+'Cost Summary'!$C$70)</f>
        <v>0</v>
      </c>
      <c r="K38" s="34">
        <f t="shared" si="6"/>
        <v>0</v>
      </c>
      <c r="L38" s="67">
        <f t="shared" si="7"/>
        <v>0</v>
      </c>
      <c r="M38" s="66"/>
      <c r="N38" s="34">
        <f>M38*$C38*(1+'Cost Summary'!$C$70)^2</f>
        <v>0</v>
      </c>
      <c r="O38" s="34">
        <f t="shared" si="8"/>
        <v>0</v>
      </c>
      <c r="P38" s="67">
        <f t="shared" si="9"/>
        <v>0</v>
      </c>
      <c r="Q38" s="66"/>
      <c r="R38" s="34">
        <f>Q38*$C38*(1+'Cost Summary'!$C$70)^3</f>
        <v>0</v>
      </c>
      <c r="S38" s="34">
        <f t="shared" si="10"/>
        <v>0</v>
      </c>
      <c r="T38" s="67">
        <f t="shared" si="11"/>
        <v>0</v>
      </c>
      <c r="U38" s="66"/>
      <c r="V38" s="34">
        <f>U38*$C38*(1+'Cost Summary'!$C$70)^4</f>
        <v>0</v>
      </c>
      <c r="W38" s="34">
        <f t="shared" si="12"/>
        <v>0</v>
      </c>
      <c r="X38" s="67">
        <f t="shared" si="13"/>
        <v>0</v>
      </c>
      <c r="Y38" s="116">
        <f t="shared" si="14"/>
        <v>0</v>
      </c>
      <c r="Z38" s="34">
        <f t="shared" si="15"/>
        <v>0</v>
      </c>
      <c r="AA38" s="34">
        <f t="shared" si="16"/>
        <v>0</v>
      </c>
      <c r="AB38" s="67">
        <f t="shared" si="17"/>
        <v>0</v>
      </c>
    </row>
    <row r="39" spans="1:28">
      <c r="A39" s="31" t="s">
        <v>117</v>
      </c>
      <c r="B39" s="31" t="s">
        <v>118</v>
      </c>
      <c r="C39" s="68"/>
      <c r="D39" s="65"/>
      <c r="E39" s="66"/>
      <c r="F39" s="34">
        <f t="shared" si="18"/>
        <v>0</v>
      </c>
      <c r="G39" s="34">
        <f t="shared" si="19"/>
        <v>0</v>
      </c>
      <c r="H39" s="67">
        <f t="shared" si="20"/>
        <v>0</v>
      </c>
      <c r="I39" s="66"/>
      <c r="J39" s="34">
        <f>I39*$C39*(1+'Cost Summary'!$C$70)</f>
        <v>0</v>
      </c>
      <c r="K39" s="34">
        <f t="shared" si="6"/>
        <v>0</v>
      </c>
      <c r="L39" s="67">
        <f t="shared" si="7"/>
        <v>0</v>
      </c>
      <c r="M39" s="66"/>
      <c r="N39" s="34">
        <f>M39*$C39*(1+'Cost Summary'!$C$70)^2</f>
        <v>0</v>
      </c>
      <c r="O39" s="34">
        <f t="shared" si="8"/>
        <v>0</v>
      </c>
      <c r="P39" s="67">
        <f t="shared" si="9"/>
        <v>0</v>
      </c>
      <c r="Q39" s="66"/>
      <c r="R39" s="34">
        <f>Q39*$C39*(1+'Cost Summary'!$C$70)^3</f>
        <v>0</v>
      </c>
      <c r="S39" s="34">
        <f t="shared" si="10"/>
        <v>0</v>
      </c>
      <c r="T39" s="67">
        <f t="shared" si="11"/>
        <v>0</v>
      </c>
      <c r="U39" s="66"/>
      <c r="V39" s="34">
        <f>U39*$C39*(1+'Cost Summary'!$C$70)^4</f>
        <v>0</v>
      </c>
      <c r="W39" s="34">
        <f t="shared" si="12"/>
        <v>0</v>
      </c>
      <c r="X39" s="67">
        <f t="shared" si="13"/>
        <v>0</v>
      </c>
      <c r="Y39" s="116">
        <f t="shared" si="14"/>
        <v>0</v>
      </c>
      <c r="Z39" s="34">
        <f t="shared" si="15"/>
        <v>0</v>
      </c>
      <c r="AA39" s="34">
        <f t="shared" si="16"/>
        <v>0</v>
      </c>
      <c r="AB39" s="67">
        <f t="shared" si="17"/>
        <v>0</v>
      </c>
    </row>
    <row r="40" spans="1:28" outlineLevel="1">
      <c r="A40" s="31" t="s">
        <v>119</v>
      </c>
      <c r="B40" s="31">
        <v>85730</v>
      </c>
      <c r="C40" s="68"/>
      <c r="D40" s="65"/>
      <c r="E40" s="66"/>
      <c r="F40" s="34">
        <f t="shared" si="18"/>
        <v>0</v>
      </c>
      <c r="G40" s="34">
        <f t="shared" si="19"/>
        <v>0</v>
      </c>
      <c r="H40" s="67">
        <f t="shared" si="20"/>
        <v>0</v>
      </c>
      <c r="I40" s="66"/>
      <c r="J40" s="34">
        <f>I40*$C40*(1+'Cost Summary'!$C$70)</f>
        <v>0</v>
      </c>
      <c r="K40" s="34">
        <f t="shared" si="6"/>
        <v>0</v>
      </c>
      <c r="L40" s="67">
        <f t="shared" si="7"/>
        <v>0</v>
      </c>
      <c r="M40" s="66"/>
      <c r="N40" s="34">
        <f>M40*$C40*(1+'Cost Summary'!$C$70)^2</f>
        <v>0</v>
      </c>
      <c r="O40" s="34">
        <f t="shared" si="8"/>
        <v>0</v>
      </c>
      <c r="P40" s="67">
        <f t="shared" si="9"/>
        <v>0</v>
      </c>
      <c r="Q40" s="66"/>
      <c r="R40" s="34">
        <f>Q40*$C40*(1+'Cost Summary'!$C$70)^3</f>
        <v>0</v>
      </c>
      <c r="S40" s="34">
        <f t="shared" si="10"/>
        <v>0</v>
      </c>
      <c r="T40" s="67">
        <f t="shared" si="11"/>
        <v>0</v>
      </c>
      <c r="U40" s="66"/>
      <c r="V40" s="34">
        <f>U40*$C40*(1+'Cost Summary'!$C$70)^4</f>
        <v>0</v>
      </c>
      <c r="W40" s="34">
        <f t="shared" si="12"/>
        <v>0</v>
      </c>
      <c r="X40" s="67">
        <f t="shared" si="13"/>
        <v>0</v>
      </c>
      <c r="Y40" s="116">
        <f t="shared" si="14"/>
        <v>0</v>
      </c>
      <c r="Z40" s="34">
        <f t="shared" si="15"/>
        <v>0</v>
      </c>
      <c r="AA40" s="34">
        <f t="shared" si="16"/>
        <v>0</v>
      </c>
      <c r="AB40" s="67">
        <f t="shared" si="17"/>
        <v>0</v>
      </c>
    </row>
    <row r="41" spans="1:28" outlineLevel="1">
      <c r="A41" s="31" t="s">
        <v>120</v>
      </c>
      <c r="B41" s="31">
        <v>85610</v>
      </c>
      <c r="C41" s="68"/>
      <c r="D41" s="65"/>
      <c r="E41" s="66"/>
      <c r="F41" s="34">
        <f t="shared" si="18"/>
        <v>0</v>
      </c>
      <c r="G41" s="34">
        <f t="shared" si="19"/>
        <v>0</v>
      </c>
      <c r="H41" s="67">
        <f t="shared" si="20"/>
        <v>0</v>
      </c>
      <c r="I41" s="66"/>
      <c r="J41" s="34">
        <f>I41*$C41*(1+'Cost Summary'!$C$70)</f>
        <v>0</v>
      </c>
      <c r="K41" s="34">
        <f t="shared" si="6"/>
        <v>0</v>
      </c>
      <c r="L41" s="67">
        <f t="shared" si="7"/>
        <v>0</v>
      </c>
      <c r="M41" s="66"/>
      <c r="N41" s="34">
        <f>M41*$C41*(1+'Cost Summary'!$C$70)^2</f>
        <v>0</v>
      </c>
      <c r="O41" s="34">
        <f t="shared" si="8"/>
        <v>0</v>
      </c>
      <c r="P41" s="67">
        <f t="shared" si="9"/>
        <v>0</v>
      </c>
      <c r="Q41" s="66"/>
      <c r="R41" s="34">
        <f>Q41*$C41*(1+'Cost Summary'!$C$70)^3</f>
        <v>0</v>
      </c>
      <c r="S41" s="34">
        <f t="shared" si="10"/>
        <v>0</v>
      </c>
      <c r="T41" s="67">
        <f t="shared" si="11"/>
        <v>0</v>
      </c>
      <c r="U41" s="66"/>
      <c r="V41" s="34">
        <f>U41*$C41*(1+'Cost Summary'!$C$70)^4</f>
        <v>0</v>
      </c>
      <c r="W41" s="34">
        <f t="shared" si="12"/>
        <v>0</v>
      </c>
      <c r="X41" s="67">
        <f t="shared" si="13"/>
        <v>0</v>
      </c>
      <c r="Y41" s="116">
        <f t="shared" si="14"/>
        <v>0</v>
      </c>
      <c r="Z41" s="34">
        <f t="shared" si="15"/>
        <v>0</v>
      </c>
      <c r="AA41" s="34">
        <f t="shared" si="16"/>
        <v>0</v>
      </c>
      <c r="AB41" s="67">
        <f t="shared" si="17"/>
        <v>0</v>
      </c>
    </row>
    <row r="42" spans="1:28" outlineLevel="1">
      <c r="A42" s="31" t="s">
        <v>121</v>
      </c>
      <c r="B42" s="31">
        <v>84156</v>
      </c>
      <c r="C42" s="68"/>
      <c r="D42" s="65"/>
      <c r="E42" s="66"/>
      <c r="F42" s="34">
        <f t="shared" si="18"/>
        <v>0</v>
      </c>
      <c r="G42" s="34">
        <f t="shared" si="19"/>
        <v>0</v>
      </c>
      <c r="H42" s="67">
        <f t="shared" si="20"/>
        <v>0</v>
      </c>
      <c r="I42" s="66"/>
      <c r="J42" s="34">
        <f>I42*$C42*(1+'Cost Summary'!$C$70)</f>
        <v>0</v>
      </c>
      <c r="K42" s="34">
        <f t="shared" si="6"/>
        <v>0</v>
      </c>
      <c r="L42" s="67">
        <f t="shared" si="7"/>
        <v>0</v>
      </c>
      <c r="M42" s="66"/>
      <c r="N42" s="34">
        <f>M42*$C42*(1+'Cost Summary'!$C$70)^2</f>
        <v>0</v>
      </c>
      <c r="O42" s="34">
        <f t="shared" si="8"/>
        <v>0</v>
      </c>
      <c r="P42" s="67">
        <f t="shared" si="9"/>
        <v>0</v>
      </c>
      <c r="Q42" s="66"/>
      <c r="R42" s="34">
        <f>Q42*$C42*(1+'Cost Summary'!$C$70)^3</f>
        <v>0</v>
      </c>
      <c r="S42" s="34">
        <f t="shared" si="10"/>
        <v>0</v>
      </c>
      <c r="T42" s="67">
        <f t="shared" si="11"/>
        <v>0</v>
      </c>
      <c r="U42" s="66"/>
      <c r="V42" s="34">
        <f>U42*$C42*(1+'Cost Summary'!$C$70)^4</f>
        <v>0</v>
      </c>
      <c r="W42" s="34">
        <f t="shared" si="12"/>
        <v>0</v>
      </c>
      <c r="X42" s="67">
        <f t="shared" si="13"/>
        <v>0</v>
      </c>
      <c r="Y42" s="116">
        <f t="shared" si="14"/>
        <v>0</v>
      </c>
      <c r="Z42" s="34">
        <f t="shared" si="15"/>
        <v>0</v>
      </c>
      <c r="AA42" s="34">
        <f t="shared" si="16"/>
        <v>0</v>
      </c>
      <c r="AB42" s="67">
        <f t="shared" si="17"/>
        <v>0</v>
      </c>
    </row>
    <row r="43" spans="1:28" outlineLevel="1">
      <c r="A43" s="31" t="s">
        <v>122</v>
      </c>
      <c r="B43" s="69">
        <v>84220</v>
      </c>
      <c r="C43" s="68"/>
      <c r="D43" s="65"/>
      <c r="E43" s="66"/>
      <c r="F43" s="34">
        <f t="shared" si="18"/>
        <v>0</v>
      </c>
      <c r="G43" s="34">
        <f t="shared" si="19"/>
        <v>0</v>
      </c>
      <c r="H43" s="67">
        <f t="shared" si="20"/>
        <v>0</v>
      </c>
      <c r="I43" s="66"/>
      <c r="J43" s="34">
        <f>I43*$C43*(1+'Cost Summary'!$C$70)</f>
        <v>0</v>
      </c>
      <c r="K43" s="34">
        <f t="shared" si="6"/>
        <v>0</v>
      </c>
      <c r="L43" s="67">
        <f t="shared" si="7"/>
        <v>0</v>
      </c>
      <c r="M43" s="66"/>
      <c r="N43" s="34">
        <f>M43*$C43*(1+'Cost Summary'!$C$70)^2</f>
        <v>0</v>
      </c>
      <c r="O43" s="34">
        <f t="shared" si="8"/>
        <v>0</v>
      </c>
      <c r="P43" s="67">
        <f t="shared" si="9"/>
        <v>0</v>
      </c>
      <c r="Q43" s="66"/>
      <c r="R43" s="34">
        <f>Q43*$C43*(1+'Cost Summary'!$C$70)^3</f>
        <v>0</v>
      </c>
      <c r="S43" s="34">
        <f t="shared" si="10"/>
        <v>0</v>
      </c>
      <c r="T43" s="67">
        <f t="shared" si="11"/>
        <v>0</v>
      </c>
      <c r="U43" s="66"/>
      <c r="V43" s="34">
        <f>U43*$C43*(1+'Cost Summary'!$C$70)^4</f>
        <v>0</v>
      </c>
      <c r="W43" s="34">
        <f t="shared" si="12"/>
        <v>0</v>
      </c>
      <c r="X43" s="67">
        <f t="shared" si="13"/>
        <v>0</v>
      </c>
      <c r="Y43" s="116">
        <f t="shared" si="14"/>
        <v>0</v>
      </c>
      <c r="Z43" s="34">
        <f t="shared" si="15"/>
        <v>0</v>
      </c>
      <c r="AA43" s="34">
        <f t="shared" si="16"/>
        <v>0</v>
      </c>
      <c r="AB43" s="67">
        <f t="shared" si="17"/>
        <v>0</v>
      </c>
    </row>
    <row r="44" spans="1:28" outlineLevel="1">
      <c r="A44" s="70" t="s">
        <v>123</v>
      </c>
      <c r="B44" s="71" t="s">
        <v>124</v>
      </c>
      <c r="C44" s="72"/>
      <c r="D44" s="65"/>
      <c r="E44" s="66"/>
      <c r="F44" s="34">
        <f t="shared" si="18"/>
        <v>0</v>
      </c>
      <c r="G44" s="34">
        <f t="shared" si="19"/>
        <v>0</v>
      </c>
      <c r="H44" s="67">
        <f t="shared" si="20"/>
        <v>0</v>
      </c>
      <c r="I44" s="66"/>
      <c r="J44" s="34">
        <f>I44*$C44*(1+'Cost Summary'!$C$70)</f>
        <v>0</v>
      </c>
      <c r="K44" s="34">
        <f t="shared" si="6"/>
        <v>0</v>
      </c>
      <c r="L44" s="67">
        <f t="shared" si="7"/>
        <v>0</v>
      </c>
      <c r="M44" s="66"/>
      <c r="N44" s="34">
        <f>M44*$C44*(1+'Cost Summary'!$C$70)^2</f>
        <v>0</v>
      </c>
      <c r="O44" s="34">
        <f t="shared" si="8"/>
        <v>0</v>
      </c>
      <c r="P44" s="67">
        <f t="shared" si="9"/>
        <v>0</v>
      </c>
      <c r="Q44" s="66"/>
      <c r="R44" s="34">
        <f>Q44*$C44*(1+'Cost Summary'!$C$70)^3</f>
        <v>0</v>
      </c>
      <c r="S44" s="34">
        <f t="shared" si="10"/>
        <v>0</v>
      </c>
      <c r="T44" s="67">
        <f t="shared" si="11"/>
        <v>0</v>
      </c>
      <c r="U44" s="66"/>
      <c r="V44" s="34">
        <f>U44*$C44*(1+'Cost Summary'!$C$70)^4</f>
        <v>0</v>
      </c>
      <c r="W44" s="34">
        <f t="shared" si="12"/>
        <v>0</v>
      </c>
      <c r="X44" s="67">
        <f t="shared" si="13"/>
        <v>0</v>
      </c>
      <c r="Y44" s="116">
        <f t="shared" si="14"/>
        <v>0</v>
      </c>
      <c r="Z44" s="34">
        <f t="shared" si="15"/>
        <v>0</v>
      </c>
      <c r="AA44" s="34">
        <f t="shared" si="16"/>
        <v>0</v>
      </c>
      <c r="AB44" s="67">
        <f t="shared" si="17"/>
        <v>0</v>
      </c>
    </row>
    <row r="45" spans="1:28" outlineLevel="1">
      <c r="A45" s="31" t="s">
        <v>125</v>
      </c>
      <c r="B45" s="73"/>
      <c r="C45" s="68"/>
      <c r="D45" s="65"/>
      <c r="E45" s="66"/>
      <c r="F45" s="34">
        <f t="shared" si="18"/>
        <v>0</v>
      </c>
      <c r="G45" s="34">
        <f t="shared" si="19"/>
        <v>0</v>
      </c>
      <c r="H45" s="67">
        <f t="shared" si="20"/>
        <v>0</v>
      </c>
      <c r="I45" s="66"/>
      <c r="J45" s="34">
        <f>I45*$C45*(1+'Cost Summary'!$C$70)</f>
        <v>0</v>
      </c>
      <c r="K45" s="34">
        <f t="shared" si="6"/>
        <v>0</v>
      </c>
      <c r="L45" s="67">
        <f t="shared" si="7"/>
        <v>0</v>
      </c>
      <c r="M45" s="66"/>
      <c r="N45" s="34">
        <f>M45*$C45*(1+'Cost Summary'!$C$70)^2</f>
        <v>0</v>
      </c>
      <c r="O45" s="34">
        <f t="shared" si="8"/>
        <v>0</v>
      </c>
      <c r="P45" s="67">
        <f t="shared" si="9"/>
        <v>0</v>
      </c>
      <c r="Q45" s="66"/>
      <c r="R45" s="34">
        <f>Q45*$C45*(1+'Cost Summary'!$C$70)^3</f>
        <v>0</v>
      </c>
      <c r="S45" s="34">
        <f t="shared" si="10"/>
        <v>0</v>
      </c>
      <c r="T45" s="67">
        <f t="shared" si="11"/>
        <v>0</v>
      </c>
      <c r="U45" s="66"/>
      <c r="V45" s="34">
        <f>U45*$C45*(1+'Cost Summary'!$C$70)^4</f>
        <v>0</v>
      </c>
      <c r="W45" s="34">
        <f t="shared" si="12"/>
        <v>0</v>
      </c>
      <c r="X45" s="67">
        <f t="shared" si="13"/>
        <v>0</v>
      </c>
      <c r="Y45" s="116">
        <f t="shared" si="14"/>
        <v>0</v>
      </c>
      <c r="Z45" s="34">
        <f t="shared" si="15"/>
        <v>0</v>
      </c>
      <c r="AA45" s="34">
        <f t="shared" si="16"/>
        <v>0</v>
      </c>
      <c r="AB45" s="67">
        <f t="shared" si="17"/>
        <v>0</v>
      </c>
    </row>
    <row r="46" spans="1:28" outlineLevel="1">
      <c r="A46" s="31" t="s">
        <v>126</v>
      </c>
      <c r="B46" s="31"/>
      <c r="C46" s="68"/>
      <c r="D46" s="65"/>
      <c r="E46" s="66"/>
      <c r="F46" s="34">
        <f t="shared" si="18"/>
        <v>0</v>
      </c>
      <c r="G46" s="34">
        <f t="shared" si="19"/>
        <v>0</v>
      </c>
      <c r="H46" s="67">
        <f t="shared" si="20"/>
        <v>0</v>
      </c>
      <c r="I46" s="66"/>
      <c r="J46" s="34">
        <f>I46*$C46*(1+'Cost Summary'!$C$70)</f>
        <v>0</v>
      </c>
      <c r="K46" s="34">
        <f t="shared" si="6"/>
        <v>0</v>
      </c>
      <c r="L46" s="67">
        <f t="shared" si="7"/>
        <v>0</v>
      </c>
      <c r="M46" s="66"/>
      <c r="N46" s="34">
        <f>M46*$C46*(1+'Cost Summary'!$C$70)^2</f>
        <v>0</v>
      </c>
      <c r="O46" s="34">
        <f t="shared" si="8"/>
        <v>0</v>
      </c>
      <c r="P46" s="67">
        <f t="shared" si="9"/>
        <v>0</v>
      </c>
      <c r="Q46" s="66"/>
      <c r="R46" s="34">
        <f>Q46*$C46*(1+'Cost Summary'!$C$70)^3</f>
        <v>0</v>
      </c>
      <c r="S46" s="34">
        <f t="shared" si="10"/>
        <v>0</v>
      </c>
      <c r="T46" s="67">
        <f t="shared" si="11"/>
        <v>0</v>
      </c>
      <c r="U46" s="66"/>
      <c r="V46" s="34">
        <f>U46*$C46*(1+'Cost Summary'!$C$70)^4</f>
        <v>0</v>
      </c>
      <c r="W46" s="34">
        <f t="shared" si="12"/>
        <v>0</v>
      </c>
      <c r="X46" s="67">
        <f t="shared" si="13"/>
        <v>0</v>
      </c>
      <c r="Y46" s="116">
        <f t="shared" si="14"/>
        <v>0</v>
      </c>
      <c r="Z46" s="34">
        <f t="shared" si="15"/>
        <v>0</v>
      </c>
      <c r="AA46" s="34">
        <f t="shared" si="16"/>
        <v>0</v>
      </c>
      <c r="AB46" s="67">
        <f t="shared" si="17"/>
        <v>0</v>
      </c>
    </row>
    <row r="47" spans="1:28" outlineLevel="1">
      <c r="A47" s="31" t="s">
        <v>127</v>
      </c>
      <c r="B47" s="31">
        <v>82945</v>
      </c>
      <c r="C47" s="68"/>
      <c r="D47" s="65"/>
      <c r="E47" s="66"/>
      <c r="F47" s="34">
        <f t="shared" si="18"/>
        <v>0</v>
      </c>
      <c r="G47" s="34">
        <f t="shared" si="19"/>
        <v>0</v>
      </c>
      <c r="H47" s="67">
        <f t="shared" si="20"/>
        <v>0</v>
      </c>
      <c r="I47" s="66"/>
      <c r="J47" s="34">
        <f>I47*$C47*(1+'Cost Summary'!$C$70)</f>
        <v>0</v>
      </c>
      <c r="K47" s="34">
        <f t="shared" si="6"/>
        <v>0</v>
      </c>
      <c r="L47" s="67">
        <f t="shared" si="7"/>
        <v>0</v>
      </c>
      <c r="M47" s="66"/>
      <c r="N47" s="34">
        <f>M47*$C47*(1+'Cost Summary'!$C$70)^2</f>
        <v>0</v>
      </c>
      <c r="O47" s="34">
        <f t="shared" si="8"/>
        <v>0</v>
      </c>
      <c r="P47" s="67">
        <f t="shared" si="9"/>
        <v>0</v>
      </c>
      <c r="Q47" s="66"/>
      <c r="R47" s="34">
        <f>Q47*$C47*(1+'Cost Summary'!$C$70)^3</f>
        <v>0</v>
      </c>
      <c r="S47" s="34">
        <f t="shared" si="10"/>
        <v>0</v>
      </c>
      <c r="T47" s="67">
        <f t="shared" si="11"/>
        <v>0</v>
      </c>
      <c r="U47" s="66"/>
      <c r="V47" s="34">
        <f>U47*$C47*(1+'Cost Summary'!$C$70)^4</f>
        <v>0</v>
      </c>
      <c r="W47" s="34">
        <f t="shared" si="12"/>
        <v>0</v>
      </c>
      <c r="X47" s="67">
        <f t="shared" si="13"/>
        <v>0</v>
      </c>
      <c r="Y47" s="116">
        <f t="shared" si="14"/>
        <v>0</v>
      </c>
      <c r="Z47" s="34">
        <f t="shared" si="15"/>
        <v>0</v>
      </c>
      <c r="AA47" s="34">
        <f t="shared" si="16"/>
        <v>0</v>
      </c>
      <c r="AB47" s="67">
        <f t="shared" si="17"/>
        <v>0</v>
      </c>
    </row>
    <row r="48" spans="1:28" outlineLevel="1">
      <c r="A48" s="31" t="s">
        <v>128</v>
      </c>
      <c r="B48" s="31">
        <v>84157</v>
      </c>
      <c r="C48" s="68"/>
      <c r="D48" s="65"/>
      <c r="E48" s="66"/>
      <c r="F48" s="34">
        <f t="shared" si="18"/>
        <v>0</v>
      </c>
      <c r="G48" s="34">
        <f t="shared" si="19"/>
        <v>0</v>
      </c>
      <c r="H48" s="67">
        <f t="shared" si="20"/>
        <v>0</v>
      </c>
      <c r="I48" s="66"/>
      <c r="J48" s="34">
        <f>I48*$C48*(1+'Cost Summary'!$C$70)</f>
        <v>0</v>
      </c>
      <c r="K48" s="34">
        <f t="shared" si="6"/>
        <v>0</v>
      </c>
      <c r="L48" s="67">
        <f t="shared" si="7"/>
        <v>0</v>
      </c>
      <c r="M48" s="66"/>
      <c r="N48" s="34">
        <f>M48*$C48*(1+'Cost Summary'!$C$70)^2</f>
        <v>0</v>
      </c>
      <c r="O48" s="34">
        <f t="shared" si="8"/>
        <v>0</v>
      </c>
      <c r="P48" s="67">
        <f t="shared" si="9"/>
        <v>0</v>
      </c>
      <c r="Q48" s="66"/>
      <c r="R48" s="34">
        <f>Q48*$C48*(1+'Cost Summary'!$C$70)^3</f>
        <v>0</v>
      </c>
      <c r="S48" s="34">
        <f t="shared" si="10"/>
        <v>0</v>
      </c>
      <c r="T48" s="67">
        <f t="shared" si="11"/>
        <v>0</v>
      </c>
      <c r="U48" s="66"/>
      <c r="V48" s="34">
        <f>U48*$C48*(1+'Cost Summary'!$C$70)^4</f>
        <v>0</v>
      </c>
      <c r="W48" s="34">
        <f t="shared" si="12"/>
        <v>0</v>
      </c>
      <c r="X48" s="67">
        <f t="shared" si="13"/>
        <v>0</v>
      </c>
      <c r="Y48" s="116">
        <f t="shared" si="14"/>
        <v>0</v>
      </c>
      <c r="Z48" s="34">
        <f t="shared" si="15"/>
        <v>0</v>
      </c>
      <c r="AA48" s="34">
        <f t="shared" si="16"/>
        <v>0</v>
      </c>
      <c r="AB48" s="67">
        <f t="shared" si="17"/>
        <v>0</v>
      </c>
    </row>
    <row r="49" spans="1:28" outlineLevel="1">
      <c r="A49" s="31" t="s">
        <v>129</v>
      </c>
      <c r="B49" s="31">
        <v>89051</v>
      </c>
      <c r="C49" s="68"/>
      <c r="D49" s="65"/>
      <c r="E49" s="66"/>
      <c r="F49" s="34">
        <f t="shared" si="18"/>
        <v>0</v>
      </c>
      <c r="G49" s="34">
        <f t="shared" si="19"/>
        <v>0</v>
      </c>
      <c r="H49" s="67">
        <f t="shared" si="20"/>
        <v>0</v>
      </c>
      <c r="I49" s="66"/>
      <c r="J49" s="34">
        <f>I49*$C49*(1+'Cost Summary'!$C$70)</f>
        <v>0</v>
      </c>
      <c r="K49" s="34">
        <f t="shared" si="6"/>
        <v>0</v>
      </c>
      <c r="L49" s="67">
        <f t="shared" si="7"/>
        <v>0</v>
      </c>
      <c r="M49" s="66"/>
      <c r="N49" s="34">
        <f>M49*$C49*(1+'Cost Summary'!$C$70)^2</f>
        <v>0</v>
      </c>
      <c r="O49" s="34">
        <f t="shared" si="8"/>
        <v>0</v>
      </c>
      <c r="P49" s="67">
        <f t="shared" si="9"/>
        <v>0</v>
      </c>
      <c r="Q49" s="66"/>
      <c r="R49" s="34">
        <f>Q49*$C49*(1+'Cost Summary'!$C$70)^3</f>
        <v>0</v>
      </c>
      <c r="S49" s="34">
        <f t="shared" si="10"/>
        <v>0</v>
      </c>
      <c r="T49" s="67">
        <f t="shared" si="11"/>
        <v>0</v>
      </c>
      <c r="U49" s="66"/>
      <c r="V49" s="34">
        <f>U49*$C49*(1+'Cost Summary'!$C$70)^4</f>
        <v>0</v>
      </c>
      <c r="W49" s="34">
        <f t="shared" si="12"/>
        <v>0</v>
      </c>
      <c r="X49" s="67">
        <f t="shared" si="13"/>
        <v>0</v>
      </c>
      <c r="Y49" s="116">
        <f t="shared" si="14"/>
        <v>0</v>
      </c>
      <c r="Z49" s="34">
        <f t="shared" si="15"/>
        <v>0</v>
      </c>
      <c r="AA49" s="34">
        <f t="shared" si="16"/>
        <v>0</v>
      </c>
      <c r="AB49" s="67">
        <f t="shared" si="17"/>
        <v>0</v>
      </c>
    </row>
    <row r="50" spans="1:28" outlineLevel="1">
      <c r="A50" s="31" t="s">
        <v>130</v>
      </c>
      <c r="B50" s="31">
        <v>84460</v>
      </c>
      <c r="C50" s="68"/>
      <c r="D50" s="65"/>
      <c r="E50" s="66"/>
      <c r="F50" s="34">
        <f t="shared" si="18"/>
        <v>0</v>
      </c>
      <c r="G50" s="34">
        <f t="shared" si="19"/>
        <v>0</v>
      </c>
      <c r="H50" s="67">
        <f t="shared" si="20"/>
        <v>0</v>
      </c>
      <c r="I50" s="66"/>
      <c r="J50" s="34">
        <f>I50*$C50*(1+'Cost Summary'!$C$70)</f>
        <v>0</v>
      </c>
      <c r="K50" s="34">
        <f t="shared" si="6"/>
        <v>0</v>
      </c>
      <c r="L50" s="67">
        <f t="shared" si="7"/>
        <v>0</v>
      </c>
      <c r="M50" s="66"/>
      <c r="N50" s="34">
        <f>M50*$C50*(1+'Cost Summary'!$C$70)^2</f>
        <v>0</v>
      </c>
      <c r="O50" s="34">
        <f t="shared" si="8"/>
        <v>0</v>
      </c>
      <c r="P50" s="67">
        <f t="shared" si="9"/>
        <v>0</v>
      </c>
      <c r="Q50" s="66"/>
      <c r="R50" s="34">
        <f>Q50*$C50*(1+'Cost Summary'!$C$70)^3</f>
        <v>0</v>
      </c>
      <c r="S50" s="34">
        <f t="shared" si="10"/>
        <v>0</v>
      </c>
      <c r="T50" s="67">
        <f t="shared" si="11"/>
        <v>0</v>
      </c>
      <c r="U50" s="66"/>
      <c r="V50" s="34">
        <f>U50*$C50*(1+'Cost Summary'!$C$70)^4</f>
        <v>0</v>
      </c>
      <c r="W50" s="34">
        <f t="shared" si="12"/>
        <v>0</v>
      </c>
      <c r="X50" s="67">
        <f t="shared" si="13"/>
        <v>0</v>
      </c>
      <c r="Y50" s="116">
        <f t="shared" si="14"/>
        <v>0</v>
      </c>
      <c r="Z50" s="34">
        <f t="shared" si="15"/>
        <v>0</v>
      </c>
      <c r="AA50" s="34">
        <f t="shared" si="16"/>
        <v>0</v>
      </c>
      <c r="AB50" s="67">
        <f t="shared" si="17"/>
        <v>0</v>
      </c>
    </row>
    <row r="51" spans="1:28" outlineLevel="1">
      <c r="A51" s="31" t="s">
        <v>131</v>
      </c>
      <c r="B51" s="31">
        <v>84450</v>
      </c>
      <c r="C51" s="68"/>
      <c r="D51" s="65"/>
      <c r="E51" s="66"/>
      <c r="F51" s="34">
        <f t="shared" si="18"/>
        <v>0</v>
      </c>
      <c r="G51" s="34">
        <f t="shared" si="19"/>
        <v>0</v>
      </c>
      <c r="H51" s="67">
        <f t="shared" si="20"/>
        <v>0</v>
      </c>
      <c r="I51" s="66"/>
      <c r="J51" s="34">
        <f>I51*$C51*(1+'Cost Summary'!$C$70)</f>
        <v>0</v>
      </c>
      <c r="K51" s="34">
        <f t="shared" si="6"/>
        <v>0</v>
      </c>
      <c r="L51" s="67">
        <f t="shared" si="7"/>
        <v>0</v>
      </c>
      <c r="M51" s="66"/>
      <c r="N51" s="34">
        <f>M51*$C51*(1+'Cost Summary'!$C$70)^2</f>
        <v>0</v>
      </c>
      <c r="O51" s="34">
        <f t="shared" si="8"/>
        <v>0</v>
      </c>
      <c r="P51" s="67">
        <f t="shared" si="9"/>
        <v>0</v>
      </c>
      <c r="Q51" s="66"/>
      <c r="R51" s="34">
        <f>Q51*$C51*(1+'Cost Summary'!$C$70)^3</f>
        <v>0</v>
      </c>
      <c r="S51" s="34">
        <f t="shared" si="10"/>
        <v>0</v>
      </c>
      <c r="T51" s="67">
        <f t="shared" si="11"/>
        <v>0</v>
      </c>
      <c r="U51" s="66"/>
      <c r="V51" s="34">
        <f>U51*$C51*(1+'Cost Summary'!$C$70)^4</f>
        <v>0</v>
      </c>
      <c r="W51" s="34">
        <f t="shared" si="12"/>
        <v>0</v>
      </c>
      <c r="X51" s="67">
        <f t="shared" si="13"/>
        <v>0</v>
      </c>
      <c r="Y51" s="116">
        <f t="shared" si="14"/>
        <v>0</v>
      </c>
      <c r="Z51" s="34">
        <f t="shared" si="15"/>
        <v>0</v>
      </c>
      <c r="AA51" s="34">
        <f t="shared" si="16"/>
        <v>0</v>
      </c>
      <c r="AB51" s="67">
        <f t="shared" si="17"/>
        <v>0</v>
      </c>
    </row>
    <row r="52" spans="1:28" outlineLevel="1">
      <c r="A52" s="31" t="s">
        <v>132</v>
      </c>
      <c r="B52" s="31">
        <v>80076</v>
      </c>
      <c r="C52" s="68"/>
      <c r="D52" s="65"/>
      <c r="E52" s="66"/>
      <c r="F52" s="34">
        <f t="shared" si="18"/>
        <v>0</v>
      </c>
      <c r="G52" s="34">
        <f t="shared" si="19"/>
        <v>0</v>
      </c>
      <c r="H52" s="67">
        <f t="shared" si="20"/>
        <v>0</v>
      </c>
      <c r="I52" s="66"/>
      <c r="J52" s="34">
        <f>I52*$C52*(1+'Cost Summary'!$C$70)</f>
        <v>0</v>
      </c>
      <c r="K52" s="34">
        <f t="shared" si="6"/>
        <v>0</v>
      </c>
      <c r="L52" s="67">
        <f t="shared" si="7"/>
        <v>0</v>
      </c>
      <c r="M52" s="66"/>
      <c r="N52" s="34">
        <f>M52*$C52*(1+'Cost Summary'!$C$70)^2</f>
        <v>0</v>
      </c>
      <c r="O52" s="34">
        <f t="shared" si="8"/>
        <v>0</v>
      </c>
      <c r="P52" s="67">
        <f t="shared" si="9"/>
        <v>0</v>
      </c>
      <c r="Q52" s="66"/>
      <c r="R52" s="34">
        <f>Q52*$C52*(1+'Cost Summary'!$C$70)^3</f>
        <v>0</v>
      </c>
      <c r="S52" s="34">
        <f t="shared" si="10"/>
        <v>0</v>
      </c>
      <c r="T52" s="67">
        <f t="shared" si="11"/>
        <v>0</v>
      </c>
      <c r="U52" s="66"/>
      <c r="V52" s="34">
        <f>U52*$C52*(1+'Cost Summary'!$C$70)^4</f>
        <v>0</v>
      </c>
      <c r="W52" s="34">
        <f t="shared" si="12"/>
        <v>0</v>
      </c>
      <c r="X52" s="67">
        <f t="shared" si="13"/>
        <v>0</v>
      </c>
      <c r="Y52" s="116">
        <f t="shared" si="14"/>
        <v>0</v>
      </c>
      <c r="Z52" s="34">
        <f t="shared" si="15"/>
        <v>0</v>
      </c>
      <c r="AA52" s="34">
        <f t="shared" si="16"/>
        <v>0</v>
      </c>
      <c r="AB52" s="67">
        <f t="shared" si="17"/>
        <v>0</v>
      </c>
    </row>
    <row r="53" spans="1:28" outlineLevel="1">
      <c r="A53" s="31" t="s">
        <v>133</v>
      </c>
      <c r="B53" s="31">
        <v>84520</v>
      </c>
      <c r="C53" s="68"/>
      <c r="D53" s="65"/>
      <c r="E53" s="66"/>
      <c r="F53" s="34">
        <f t="shared" si="18"/>
        <v>0</v>
      </c>
      <c r="G53" s="34">
        <f t="shared" si="19"/>
        <v>0</v>
      </c>
      <c r="H53" s="67">
        <f t="shared" si="20"/>
        <v>0</v>
      </c>
      <c r="I53" s="66"/>
      <c r="J53" s="34">
        <f>I53*$C53*(1+'Cost Summary'!$C$70)</f>
        <v>0</v>
      </c>
      <c r="K53" s="34">
        <f t="shared" si="6"/>
        <v>0</v>
      </c>
      <c r="L53" s="67">
        <f t="shared" si="7"/>
        <v>0</v>
      </c>
      <c r="M53" s="66"/>
      <c r="N53" s="34">
        <f>M53*$C53*(1+'Cost Summary'!$C$70)^2</f>
        <v>0</v>
      </c>
      <c r="O53" s="34">
        <f t="shared" si="8"/>
        <v>0</v>
      </c>
      <c r="P53" s="67">
        <f t="shared" si="9"/>
        <v>0</v>
      </c>
      <c r="Q53" s="66"/>
      <c r="R53" s="34">
        <f>Q53*$C53*(1+'Cost Summary'!$C$70)^3</f>
        <v>0</v>
      </c>
      <c r="S53" s="34">
        <f t="shared" si="10"/>
        <v>0</v>
      </c>
      <c r="T53" s="67">
        <f t="shared" si="11"/>
        <v>0</v>
      </c>
      <c r="U53" s="66"/>
      <c r="V53" s="34">
        <f>U53*$C53*(1+'Cost Summary'!$C$70)^4</f>
        <v>0</v>
      </c>
      <c r="W53" s="34">
        <f t="shared" si="12"/>
        <v>0</v>
      </c>
      <c r="X53" s="67">
        <f t="shared" si="13"/>
        <v>0</v>
      </c>
      <c r="Y53" s="116">
        <f t="shared" si="14"/>
        <v>0</v>
      </c>
      <c r="Z53" s="34">
        <f t="shared" si="15"/>
        <v>0</v>
      </c>
      <c r="AA53" s="34">
        <f t="shared" si="16"/>
        <v>0</v>
      </c>
      <c r="AB53" s="67">
        <f t="shared" si="17"/>
        <v>0</v>
      </c>
    </row>
    <row r="54" spans="1:28">
      <c r="A54" s="31" t="s">
        <v>134</v>
      </c>
      <c r="B54" s="31">
        <v>94681</v>
      </c>
      <c r="C54" s="32">
        <v>270</v>
      </c>
      <c r="D54" s="65"/>
      <c r="E54" s="66"/>
      <c r="F54" s="34">
        <f t="shared" si="18"/>
        <v>0</v>
      </c>
      <c r="G54" s="34">
        <f t="shared" si="19"/>
        <v>0</v>
      </c>
      <c r="H54" s="67">
        <f t="shared" si="20"/>
        <v>0</v>
      </c>
      <c r="I54" s="66"/>
      <c r="J54" s="34">
        <f>I54*$C54*(1+'Cost Summary'!$C$70)</f>
        <v>0</v>
      </c>
      <c r="K54" s="34">
        <f t="shared" si="6"/>
        <v>0</v>
      </c>
      <c r="L54" s="67">
        <f t="shared" si="7"/>
        <v>0</v>
      </c>
      <c r="M54" s="66"/>
      <c r="N54" s="34">
        <f>M54*$C54*(1+'Cost Summary'!$C$70)^2</f>
        <v>0</v>
      </c>
      <c r="O54" s="34">
        <f t="shared" si="8"/>
        <v>0</v>
      </c>
      <c r="P54" s="67">
        <f t="shared" si="9"/>
        <v>0</v>
      </c>
      <c r="Q54" s="66"/>
      <c r="R54" s="34">
        <f>Q54*$C54*(1+'Cost Summary'!$C$70)^3</f>
        <v>0</v>
      </c>
      <c r="S54" s="34">
        <f t="shared" si="10"/>
        <v>0</v>
      </c>
      <c r="T54" s="67">
        <f t="shared" si="11"/>
        <v>0</v>
      </c>
      <c r="U54" s="66"/>
      <c r="V54" s="34">
        <f>U54*$C54*(1+'Cost Summary'!$C$70)^4</f>
        <v>0</v>
      </c>
      <c r="W54" s="34">
        <f t="shared" si="12"/>
        <v>0</v>
      </c>
      <c r="X54" s="67">
        <f t="shared" si="13"/>
        <v>0</v>
      </c>
      <c r="Y54" s="116">
        <f t="shared" si="14"/>
        <v>0</v>
      </c>
      <c r="Z54" s="34">
        <f t="shared" si="15"/>
        <v>0</v>
      </c>
      <c r="AA54" s="34">
        <f t="shared" si="16"/>
        <v>0</v>
      </c>
      <c r="AB54" s="67">
        <f t="shared" si="17"/>
        <v>0</v>
      </c>
    </row>
    <row r="55" spans="1:28">
      <c r="A55" s="31" t="s">
        <v>135</v>
      </c>
      <c r="B55" s="31">
        <v>97163</v>
      </c>
      <c r="C55" s="32"/>
      <c r="D55" s="65"/>
      <c r="E55" s="66"/>
      <c r="F55" s="34">
        <f t="shared" ref="F55" si="21">E55*$C55</f>
        <v>0</v>
      </c>
      <c r="G55" s="34">
        <f t="shared" ref="G55" si="22">E55*$D55</f>
        <v>0</v>
      </c>
      <c r="H55" s="67">
        <f t="shared" ref="H55" si="23">F55-G55</f>
        <v>0</v>
      </c>
      <c r="I55" s="66"/>
      <c r="J55" s="34">
        <f>I55*$C55*(1+'Cost Summary'!$C$70)</f>
        <v>0</v>
      </c>
      <c r="K55" s="34">
        <f t="shared" ref="K55" si="24">I55*$D55</f>
        <v>0</v>
      </c>
      <c r="L55" s="67">
        <f t="shared" ref="L55" si="25">J55-K55</f>
        <v>0</v>
      </c>
      <c r="M55" s="66"/>
      <c r="N55" s="34">
        <f>M55*$C55*(1+'Cost Summary'!$C$70)^2</f>
        <v>0</v>
      </c>
      <c r="O55" s="34">
        <f t="shared" ref="O55" si="26">M55*$D55</f>
        <v>0</v>
      </c>
      <c r="P55" s="67">
        <f t="shared" ref="P55" si="27">N55-O55</f>
        <v>0</v>
      </c>
      <c r="Q55" s="66"/>
      <c r="R55" s="34">
        <f>Q55*$C55*(1+'Cost Summary'!$C$70)^3</f>
        <v>0</v>
      </c>
      <c r="S55" s="34">
        <f t="shared" ref="S55" si="28">Q55*$D55</f>
        <v>0</v>
      </c>
      <c r="T55" s="67">
        <f t="shared" ref="T55" si="29">R55-S55</f>
        <v>0</v>
      </c>
      <c r="U55" s="66"/>
      <c r="V55" s="34">
        <f>U55*$C55*(1+'Cost Summary'!$C$70)^4</f>
        <v>0</v>
      </c>
      <c r="W55" s="34">
        <f t="shared" ref="W55" si="30">U55*$D55</f>
        <v>0</v>
      </c>
      <c r="X55" s="67">
        <f t="shared" ref="X55" si="31">V55-W55</f>
        <v>0</v>
      </c>
      <c r="Y55" s="116">
        <f t="shared" ref="Y55" si="32">SUM(E55,I55,M55,Q55,U55)</f>
        <v>0</v>
      </c>
      <c r="Z55" s="34">
        <f t="shared" ref="Z55" si="33">SUM(F55,J55,N55,R55,V55)</f>
        <v>0</v>
      </c>
      <c r="AA55" s="34">
        <f t="shared" ref="AA55" si="34">SUM(G55,K55,O55,S55,W55)</f>
        <v>0</v>
      </c>
      <c r="AB55" s="67">
        <f t="shared" ref="AB55" si="35">SUM(H55,L55,P55,T55,X55)</f>
        <v>0</v>
      </c>
    </row>
    <row r="56" spans="1:28">
      <c r="A56" s="31" t="s">
        <v>136</v>
      </c>
      <c r="B56" s="31">
        <v>82565</v>
      </c>
      <c r="C56" s="32"/>
      <c r="D56" s="130"/>
      <c r="E56" s="66"/>
      <c r="F56" s="34">
        <f t="shared" si="18"/>
        <v>0</v>
      </c>
      <c r="G56" s="34">
        <f t="shared" si="19"/>
        <v>0</v>
      </c>
      <c r="H56" s="67">
        <f t="shared" si="20"/>
        <v>0</v>
      </c>
      <c r="I56" s="66"/>
      <c r="J56" s="34">
        <f>I56*$C56*(1+'Cost Summary'!$C$70)</f>
        <v>0</v>
      </c>
      <c r="K56" s="34">
        <f t="shared" si="6"/>
        <v>0</v>
      </c>
      <c r="L56" s="67">
        <f t="shared" si="7"/>
        <v>0</v>
      </c>
      <c r="M56" s="66"/>
      <c r="N56" s="34">
        <f>M56*$C56*(1+'Cost Summary'!$C$70)^2</f>
        <v>0</v>
      </c>
      <c r="O56" s="34">
        <f t="shared" si="8"/>
        <v>0</v>
      </c>
      <c r="P56" s="67">
        <f t="shared" si="9"/>
        <v>0</v>
      </c>
      <c r="Q56" s="66"/>
      <c r="R56" s="34">
        <f>Q56*$C56*(1+'Cost Summary'!$C$70)^3</f>
        <v>0</v>
      </c>
      <c r="S56" s="34">
        <f t="shared" si="10"/>
        <v>0</v>
      </c>
      <c r="T56" s="67">
        <f t="shared" si="11"/>
        <v>0</v>
      </c>
      <c r="U56" s="66"/>
      <c r="V56" s="34">
        <f>U56*$C56*(1+'Cost Summary'!$C$70)^4</f>
        <v>0</v>
      </c>
      <c r="W56" s="34">
        <f t="shared" si="12"/>
        <v>0</v>
      </c>
      <c r="X56" s="67">
        <f t="shared" si="13"/>
        <v>0</v>
      </c>
      <c r="Y56" s="116">
        <f t="shared" si="14"/>
        <v>0</v>
      </c>
      <c r="Z56" s="34">
        <f t="shared" si="15"/>
        <v>0</v>
      </c>
      <c r="AA56" s="34">
        <f t="shared" si="16"/>
        <v>0</v>
      </c>
      <c r="AB56" s="67">
        <f t="shared" si="17"/>
        <v>0</v>
      </c>
    </row>
    <row r="57" spans="1:28">
      <c r="A57" s="69" t="s">
        <v>137</v>
      </c>
      <c r="B57" s="69">
        <v>99151</v>
      </c>
      <c r="C57" s="1" t="s">
        <v>98</v>
      </c>
      <c r="D57" s="134" t="s">
        <v>98</v>
      </c>
      <c r="E57" s="136"/>
      <c r="F57" s="51"/>
      <c r="G57" s="51"/>
      <c r="H57" s="132"/>
      <c r="I57" s="131"/>
      <c r="J57" s="51"/>
      <c r="K57" s="51"/>
      <c r="L57" s="132"/>
      <c r="M57" s="131"/>
      <c r="N57" s="51"/>
      <c r="O57" s="51"/>
      <c r="P57" s="132"/>
      <c r="Q57" s="131"/>
      <c r="R57" s="51"/>
      <c r="S57" s="51"/>
      <c r="T57" s="132"/>
      <c r="U57" s="131"/>
      <c r="V57" s="51"/>
      <c r="W57" s="51"/>
      <c r="X57" s="132"/>
      <c r="Y57" s="133"/>
      <c r="Z57" s="51"/>
      <c r="AA57" s="51"/>
      <c r="AB57" s="130"/>
    </row>
    <row r="58" spans="1:28">
      <c r="A58" s="69" t="s">
        <v>138</v>
      </c>
      <c r="B58" s="69">
        <v>99152</v>
      </c>
      <c r="C58" s="135">
        <v>1623</v>
      </c>
      <c r="D58" s="71"/>
      <c r="E58" s="136"/>
      <c r="F58" s="51"/>
      <c r="G58" s="51"/>
      <c r="H58" s="132"/>
      <c r="I58" s="131"/>
      <c r="J58" s="51"/>
      <c r="K58" s="51"/>
      <c r="L58" s="132"/>
      <c r="M58" s="131"/>
      <c r="N58" s="51"/>
      <c r="O58" s="51"/>
      <c r="P58" s="132"/>
      <c r="Q58" s="131"/>
      <c r="R58" s="51"/>
      <c r="S58" s="51"/>
      <c r="T58" s="132"/>
      <c r="U58" s="131"/>
      <c r="V58" s="51"/>
      <c r="W58" s="51"/>
      <c r="X58" s="132"/>
      <c r="Y58" s="133"/>
      <c r="Z58" s="51"/>
      <c r="AA58" s="51"/>
      <c r="AB58" s="130"/>
    </row>
    <row r="59" spans="1:28">
      <c r="A59" s="69" t="s">
        <v>139</v>
      </c>
      <c r="B59" s="69">
        <v>99153</v>
      </c>
      <c r="C59" s="135">
        <v>836</v>
      </c>
      <c r="D59" s="71"/>
      <c r="E59" s="136"/>
      <c r="F59" s="51"/>
      <c r="G59" s="51"/>
      <c r="H59" s="132"/>
      <c r="I59" s="131"/>
      <c r="J59" s="51"/>
      <c r="K59" s="51"/>
      <c r="L59" s="132"/>
      <c r="M59" s="131"/>
      <c r="N59" s="51"/>
      <c r="O59" s="51"/>
      <c r="P59" s="132"/>
      <c r="Q59" s="131"/>
      <c r="R59" s="51"/>
      <c r="S59" s="51"/>
      <c r="T59" s="132"/>
      <c r="U59" s="131"/>
      <c r="V59" s="51"/>
      <c r="W59" s="51"/>
      <c r="X59" s="132"/>
      <c r="Y59" s="133"/>
      <c r="Z59" s="51"/>
      <c r="AA59" s="51"/>
      <c r="AB59" s="130"/>
    </row>
    <row r="60" spans="1:28">
      <c r="A60" s="69" t="s">
        <v>140</v>
      </c>
      <c r="B60" s="69">
        <v>99155</v>
      </c>
      <c r="C60" s="135">
        <v>1623</v>
      </c>
      <c r="D60" s="71"/>
      <c r="E60" s="136"/>
      <c r="F60" s="51"/>
      <c r="G60" s="51"/>
      <c r="H60" s="132"/>
      <c r="I60" s="131"/>
      <c r="J60" s="51"/>
      <c r="K60" s="51"/>
      <c r="L60" s="132"/>
      <c r="M60" s="131"/>
      <c r="N60" s="51"/>
      <c r="O60" s="51"/>
      <c r="P60" s="132"/>
      <c r="Q60" s="131"/>
      <c r="R60" s="51"/>
      <c r="S60" s="51"/>
      <c r="T60" s="132"/>
      <c r="U60" s="131"/>
      <c r="V60" s="51"/>
      <c r="W60" s="51"/>
      <c r="X60" s="132"/>
      <c r="Y60" s="133"/>
      <c r="Z60" s="51"/>
      <c r="AA60" s="51"/>
      <c r="AB60" s="130"/>
    </row>
    <row r="61" spans="1:28">
      <c r="A61" s="69" t="s">
        <v>141</v>
      </c>
      <c r="B61" s="69">
        <v>99156</v>
      </c>
      <c r="C61" s="135">
        <v>1623</v>
      </c>
      <c r="D61" s="71"/>
      <c r="E61" s="136"/>
      <c r="F61" s="51"/>
      <c r="G61" s="51"/>
      <c r="H61" s="132"/>
      <c r="I61" s="131"/>
      <c r="J61" s="51"/>
      <c r="K61" s="51"/>
      <c r="L61" s="132"/>
      <c r="M61" s="131"/>
      <c r="N61" s="51"/>
      <c r="O61" s="51"/>
      <c r="P61" s="132"/>
      <c r="Q61" s="131"/>
      <c r="R61" s="51"/>
      <c r="S61" s="51"/>
      <c r="T61" s="132"/>
      <c r="U61" s="131"/>
      <c r="V61" s="51"/>
      <c r="W61" s="51"/>
      <c r="X61" s="132"/>
      <c r="Y61" s="133"/>
      <c r="Z61" s="51"/>
      <c r="AA61" s="51"/>
      <c r="AB61" s="130"/>
    </row>
    <row r="62" spans="1:28">
      <c r="A62" s="69" t="s">
        <v>142</v>
      </c>
      <c r="B62" s="69">
        <v>99157</v>
      </c>
      <c r="C62" s="135">
        <v>836</v>
      </c>
      <c r="D62" s="71"/>
      <c r="E62" s="136"/>
      <c r="F62" s="51"/>
      <c r="G62" s="51"/>
      <c r="H62" s="132"/>
      <c r="I62" s="131"/>
      <c r="J62" s="51"/>
      <c r="K62" s="51"/>
      <c r="L62" s="132"/>
      <c r="M62" s="131"/>
      <c r="N62" s="51"/>
      <c r="O62" s="51"/>
      <c r="P62" s="132"/>
      <c r="Q62" s="131"/>
      <c r="R62" s="51"/>
      <c r="S62" s="51"/>
      <c r="T62" s="132"/>
      <c r="U62" s="131"/>
      <c r="V62" s="51"/>
      <c r="W62" s="51"/>
      <c r="X62" s="132"/>
      <c r="Y62" s="133"/>
      <c r="Z62" s="51"/>
      <c r="AA62" s="51"/>
      <c r="AB62" s="130"/>
    </row>
    <row r="63" spans="1:28">
      <c r="A63" s="69" t="s">
        <v>143</v>
      </c>
      <c r="B63" s="69" t="s">
        <v>144</v>
      </c>
      <c r="C63" s="50" t="s">
        <v>98</v>
      </c>
      <c r="D63" s="137" t="s">
        <v>98</v>
      </c>
      <c r="E63" s="131"/>
      <c r="F63" s="51"/>
      <c r="G63" s="51"/>
      <c r="H63" s="132"/>
      <c r="I63" s="131"/>
      <c r="J63" s="51"/>
      <c r="K63" s="51"/>
      <c r="L63" s="132"/>
      <c r="M63" s="131"/>
      <c r="N63" s="51"/>
      <c r="O63" s="51"/>
      <c r="P63" s="132"/>
      <c r="Q63" s="131"/>
      <c r="R63" s="51"/>
      <c r="S63" s="51"/>
      <c r="T63" s="132"/>
      <c r="U63" s="131"/>
      <c r="V63" s="51"/>
      <c r="W63" s="51"/>
      <c r="X63" s="132"/>
      <c r="Y63" s="133"/>
      <c r="Z63" s="51"/>
      <c r="AA63" s="51"/>
      <c r="AB63" s="130"/>
    </row>
    <row r="64" spans="1:28">
      <c r="A64" s="69"/>
      <c r="B64" s="69"/>
      <c r="C64" s="50"/>
      <c r="D64" s="130"/>
      <c r="E64" s="131"/>
      <c r="F64" s="51"/>
      <c r="G64" s="51"/>
      <c r="H64" s="132"/>
      <c r="I64" s="131"/>
      <c r="J64" s="51"/>
      <c r="K64" s="51"/>
      <c r="L64" s="132"/>
      <c r="M64" s="131"/>
      <c r="N64" s="51"/>
      <c r="O64" s="51"/>
      <c r="P64" s="132"/>
      <c r="Q64" s="131"/>
      <c r="R64" s="51"/>
      <c r="S64" s="51"/>
      <c r="T64" s="132"/>
      <c r="U64" s="131"/>
      <c r="V64" s="51"/>
      <c r="W64" s="51"/>
      <c r="X64" s="132"/>
      <c r="Y64" s="133"/>
      <c r="Z64" s="51"/>
      <c r="AA64" s="51"/>
      <c r="AB64" s="130"/>
    </row>
    <row r="65" spans="1:28">
      <c r="A65" s="39"/>
      <c r="B65" s="39"/>
      <c r="C65" s="39"/>
      <c r="D65" s="52"/>
      <c r="E65" s="74"/>
      <c r="F65" s="55"/>
      <c r="G65" s="55"/>
      <c r="H65" s="75"/>
      <c r="I65" s="74"/>
      <c r="J65" s="55"/>
      <c r="K65" s="55"/>
      <c r="L65" s="75"/>
      <c r="M65" s="74"/>
      <c r="N65" s="55"/>
      <c r="O65" s="55"/>
      <c r="P65" s="75"/>
      <c r="Q65" s="74"/>
      <c r="R65" s="55"/>
      <c r="S65" s="55"/>
      <c r="T65" s="75"/>
      <c r="U65" s="74"/>
      <c r="V65" s="55"/>
      <c r="W65" s="55"/>
      <c r="X65" s="75"/>
      <c r="Y65" s="55"/>
      <c r="Z65" s="55"/>
      <c r="AA65" s="39"/>
      <c r="AB65" s="39"/>
    </row>
    <row r="66" spans="1:28">
      <c r="A66" s="193" t="s">
        <v>145</v>
      </c>
      <c r="B66" s="194"/>
      <c r="C66" s="194"/>
      <c r="D66" s="195"/>
      <c r="E66" s="76">
        <f t="shared" ref="E66:AB66" si="36">SUM(E22:E65)</f>
        <v>0</v>
      </c>
      <c r="F66" s="77">
        <f t="shared" si="36"/>
        <v>0</v>
      </c>
      <c r="G66" s="77">
        <f t="shared" si="36"/>
        <v>0</v>
      </c>
      <c r="H66" s="78">
        <f t="shared" si="36"/>
        <v>0</v>
      </c>
      <c r="I66" s="76">
        <f t="shared" si="36"/>
        <v>0</v>
      </c>
      <c r="J66" s="77">
        <f t="shared" si="36"/>
        <v>0</v>
      </c>
      <c r="K66" s="77">
        <f t="shared" si="36"/>
        <v>0</v>
      </c>
      <c r="L66" s="78">
        <f t="shared" si="36"/>
        <v>0</v>
      </c>
      <c r="M66" s="76">
        <f t="shared" si="36"/>
        <v>0</v>
      </c>
      <c r="N66" s="77">
        <f t="shared" si="36"/>
        <v>0</v>
      </c>
      <c r="O66" s="77">
        <f t="shared" si="36"/>
        <v>0</v>
      </c>
      <c r="P66" s="78">
        <f t="shared" si="36"/>
        <v>0</v>
      </c>
      <c r="Q66" s="76">
        <f t="shared" si="36"/>
        <v>0</v>
      </c>
      <c r="R66" s="77">
        <f t="shared" si="36"/>
        <v>0</v>
      </c>
      <c r="S66" s="77">
        <f t="shared" si="36"/>
        <v>0</v>
      </c>
      <c r="T66" s="78">
        <f t="shared" si="36"/>
        <v>0</v>
      </c>
      <c r="U66" s="76">
        <f t="shared" si="36"/>
        <v>0</v>
      </c>
      <c r="V66" s="77">
        <f t="shared" si="36"/>
        <v>0</v>
      </c>
      <c r="W66" s="77">
        <f t="shared" si="36"/>
        <v>0</v>
      </c>
      <c r="X66" s="78">
        <f t="shared" si="36"/>
        <v>0</v>
      </c>
      <c r="Y66" s="76">
        <f t="shared" si="36"/>
        <v>0</v>
      </c>
      <c r="Z66" s="77">
        <f t="shared" si="36"/>
        <v>0</v>
      </c>
      <c r="AA66" s="77">
        <f t="shared" si="36"/>
        <v>0</v>
      </c>
      <c r="AB66" s="78">
        <f t="shared" si="36"/>
        <v>0</v>
      </c>
    </row>
    <row r="68" spans="1:28">
      <c r="A68" s="79"/>
    </row>
  </sheetData>
  <sortState xmlns:xlrd2="http://schemas.microsoft.com/office/spreadsheetml/2017/richdata2" ref="A23:AE39">
    <sortCondition ref="B23:B39"/>
  </sortState>
  <mergeCells count="9">
    <mergeCell ref="U20:X20"/>
    <mergeCell ref="Y20:AB20"/>
    <mergeCell ref="A16:B16"/>
    <mergeCell ref="A66:D66"/>
    <mergeCell ref="E20:H20"/>
    <mergeCell ref="I20:L20"/>
    <mergeCell ref="M20:P20"/>
    <mergeCell ref="Q20:T20"/>
    <mergeCell ref="A19:AB1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0"/>
  <sheetViews>
    <sheetView zoomScaleNormal="100" workbookViewId="0">
      <selection activeCell="A37" sqref="A37:A38"/>
    </sheetView>
  </sheetViews>
  <sheetFormatPr defaultColWidth="9.140625" defaultRowHeight="11.45"/>
  <cols>
    <col min="1" max="1" width="33.5703125" style="1" customWidth="1"/>
    <col min="2" max="2" width="8.85546875" style="1" bestFit="1" customWidth="1"/>
    <col min="3" max="3" width="12.7109375" style="1" customWidth="1"/>
    <col min="4" max="4" width="9.42578125" style="1" bestFit="1" customWidth="1"/>
    <col min="5" max="5" width="12.140625" style="1" bestFit="1" customWidth="1"/>
    <col min="6" max="6" width="9.42578125" style="1" bestFit="1" customWidth="1"/>
    <col min="7" max="7" width="12.140625" style="1" bestFit="1" customWidth="1"/>
    <col min="8" max="8" width="10" style="1" bestFit="1" customWidth="1"/>
    <col min="9" max="9" width="12.140625" style="1" bestFit="1" customWidth="1"/>
    <col min="10" max="10" width="9.42578125" style="1" bestFit="1" customWidth="1"/>
    <col min="11" max="11" width="12.140625" style="1" bestFit="1" customWidth="1"/>
    <col min="12" max="12" width="9.42578125" style="1" bestFit="1" customWidth="1"/>
    <col min="13" max="13" width="11.5703125" style="1" customWidth="1"/>
    <col min="14" max="16384" width="9.140625" style="1"/>
  </cols>
  <sheetData>
    <row r="1" spans="1:17">
      <c r="A1" s="13" t="s">
        <v>146</v>
      </c>
      <c r="C1" s="184" t="s">
        <v>2</v>
      </c>
      <c r="D1" s="184"/>
      <c r="E1" s="184" t="s">
        <v>3</v>
      </c>
      <c r="F1" s="184"/>
      <c r="G1" s="184" t="s">
        <v>4</v>
      </c>
      <c r="H1" s="184"/>
      <c r="I1" s="184" t="s">
        <v>5</v>
      </c>
      <c r="J1" s="184"/>
      <c r="K1" s="184" t="s">
        <v>6</v>
      </c>
      <c r="L1" s="184"/>
    </row>
    <row r="2" spans="1:17">
      <c r="A2" s="1" t="s">
        <v>147</v>
      </c>
      <c r="B2" s="13" t="s">
        <v>148</v>
      </c>
      <c r="C2" s="13" t="s">
        <v>149</v>
      </c>
      <c r="D2" s="13" t="s">
        <v>65</v>
      </c>
      <c r="E2" s="13" t="s">
        <v>149</v>
      </c>
      <c r="F2" s="13" t="s">
        <v>65</v>
      </c>
      <c r="G2" s="13" t="s">
        <v>149</v>
      </c>
      <c r="H2" s="13" t="s">
        <v>65</v>
      </c>
      <c r="I2" s="13" t="s">
        <v>149</v>
      </c>
      <c r="J2" s="13" t="s">
        <v>65</v>
      </c>
      <c r="K2" s="13" t="s">
        <v>149</v>
      </c>
      <c r="L2" s="13" t="s">
        <v>65</v>
      </c>
      <c r="M2" s="13" t="s">
        <v>66</v>
      </c>
    </row>
    <row r="3" spans="1:17">
      <c r="A3" s="31"/>
      <c r="B3" s="32"/>
      <c r="C3" s="33"/>
      <c r="D3" s="34">
        <f>$B3*C3</f>
        <v>0</v>
      </c>
      <c r="E3" s="33"/>
      <c r="F3" s="34">
        <f>$B3*E3*(1+'Cost Summary'!$C$70)</f>
        <v>0</v>
      </c>
      <c r="G3" s="33"/>
      <c r="H3" s="34">
        <f>$B3*G3*(1+'Cost Summary'!$C$70)^2</f>
        <v>0</v>
      </c>
      <c r="I3" s="33"/>
      <c r="J3" s="34">
        <f>$B3*I3*(1+'Cost Summary'!$C$70)^3</f>
        <v>0</v>
      </c>
      <c r="K3" s="33"/>
      <c r="L3" s="34">
        <f>$B3*K3*(1+'Cost Summary'!$C$70)^4</f>
        <v>0</v>
      </c>
      <c r="M3" s="34">
        <f>SUM(D3,F3,H3,J3,L3)</f>
        <v>0</v>
      </c>
    </row>
    <row r="4" spans="1:17">
      <c r="A4" s="31"/>
      <c r="B4" s="33"/>
      <c r="C4" s="33"/>
      <c r="D4" s="35">
        <f t="shared" ref="D4:D10" si="0">$B4*C4</f>
        <v>0</v>
      </c>
      <c r="E4" s="33"/>
      <c r="F4" s="35">
        <f>$B4*E4*(1+'Cost Summary'!$C$70)</f>
        <v>0</v>
      </c>
      <c r="G4" s="33"/>
      <c r="H4" s="35">
        <f>$B4*G4*(1+'Cost Summary'!$C$70)^2</f>
        <v>0</v>
      </c>
      <c r="I4" s="33"/>
      <c r="J4" s="35">
        <f>$B4*I4*(1+'Cost Summary'!$C$70)^3</f>
        <v>0</v>
      </c>
      <c r="K4" s="33"/>
      <c r="L4" s="35">
        <f>$B4*K4*(1+'Cost Summary'!$C$70)^4</f>
        <v>0</v>
      </c>
      <c r="M4" s="35">
        <f t="shared" ref="M4:M10" si="1">SUM(D4,F4,H4,J4,L4)</f>
        <v>0</v>
      </c>
    </row>
    <row r="5" spans="1:17">
      <c r="A5" s="31"/>
      <c r="B5" s="33"/>
      <c r="C5" s="33"/>
      <c r="D5" s="35">
        <f t="shared" si="0"/>
        <v>0</v>
      </c>
      <c r="E5" s="33"/>
      <c r="F5" s="35">
        <f>$B5*E5*(1+'Cost Summary'!$C$70)</f>
        <v>0</v>
      </c>
      <c r="G5" s="33"/>
      <c r="H5" s="35">
        <f>$B5*G5*(1+'Cost Summary'!$C$70)^2</f>
        <v>0</v>
      </c>
      <c r="I5" s="33"/>
      <c r="J5" s="35">
        <f>$B5*I5*(1+'Cost Summary'!$C$70)^3</f>
        <v>0</v>
      </c>
      <c r="K5" s="33"/>
      <c r="L5" s="35">
        <f>$B5*K5*(1+'Cost Summary'!$C$70)^4</f>
        <v>0</v>
      </c>
      <c r="M5" s="35">
        <f t="shared" si="1"/>
        <v>0</v>
      </c>
    </row>
    <row r="6" spans="1:17">
      <c r="A6" s="31"/>
      <c r="B6" s="33"/>
      <c r="C6" s="33"/>
      <c r="D6" s="35">
        <f t="shared" si="0"/>
        <v>0</v>
      </c>
      <c r="E6" s="33"/>
      <c r="F6" s="35">
        <f>$B6*E6*(1+'Cost Summary'!$C$70)</f>
        <v>0</v>
      </c>
      <c r="G6" s="33"/>
      <c r="H6" s="35">
        <f>$B6*G6*(1+'Cost Summary'!$C$70)^2</f>
        <v>0</v>
      </c>
      <c r="I6" s="33"/>
      <c r="J6" s="35">
        <f>$B6*I6*(1+'Cost Summary'!$C$70)^3</f>
        <v>0</v>
      </c>
      <c r="K6" s="33"/>
      <c r="L6" s="35">
        <f>$B6*K6*(1+'Cost Summary'!$C$70)^4</f>
        <v>0</v>
      </c>
      <c r="M6" s="35">
        <f t="shared" si="1"/>
        <v>0</v>
      </c>
    </row>
    <row r="7" spans="1:17">
      <c r="A7" s="31"/>
      <c r="B7" s="33"/>
      <c r="C7" s="33"/>
      <c r="D7" s="35">
        <f t="shared" si="0"/>
        <v>0</v>
      </c>
      <c r="E7" s="33"/>
      <c r="F7" s="35">
        <f>$B7*E7*(1+'Cost Summary'!$C$70)</f>
        <v>0</v>
      </c>
      <c r="G7" s="33"/>
      <c r="H7" s="35">
        <f>$B7*G7*(1+'Cost Summary'!$C$70)^2</f>
        <v>0</v>
      </c>
      <c r="I7" s="33"/>
      <c r="J7" s="35">
        <f>$B7*I7*(1+'Cost Summary'!$C$70)^3</f>
        <v>0</v>
      </c>
      <c r="K7" s="33"/>
      <c r="L7" s="35">
        <f>$B7*K7*(1+'Cost Summary'!$C$70)^4</f>
        <v>0</v>
      </c>
      <c r="M7" s="35">
        <f t="shared" si="1"/>
        <v>0</v>
      </c>
    </row>
    <row r="8" spans="1:17">
      <c r="A8" s="31"/>
      <c r="B8" s="33"/>
      <c r="C8" s="33"/>
      <c r="D8" s="35">
        <f t="shared" si="0"/>
        <v>0</v>
      </c>
      <c r="E8" s="33"/>
      <c r="F8" s="35">
        <f>$B8*E8*(1+'Cost Summary'!$C$70)</f>
        <v>0</v>
      </c>
      <c r="G8" s="33"/>
      <c r="H8" s="35">
        <f>$B8*G8*(1+'Cost Summary'!$C$70)^2</f>
        <v>0</v>
      </c>
      <c r="I8" s="33"/>
      <c r="J8" s="35">
        <f>$B8*I8*(1+'Cost Summary'!$C$70)^3</f>
        <v>0</v>
      </c>
      <c r="K8" s="33"/>
      <c r="L8" s="35">
        <f>$B8*K8*(1+'Cost Summary'!$C$70)^4</f>
        <v>0</v>
      </c>
      <c r="M8" s="35">
        <f t="shared" si="1"/>
        <v>0</v>
      </c>
    </row>
    <row r="9" spans="1:17">
      <c r="A9" s="31"/>
      <c r="B9" s="33"/>
      <c r="C9" s="33"/>
      <c r="D9" s="36">
        <f t="shared" si="0"/>
        <v>0</v>
      </c>
      <c r="E9" s="37"/>
      <c r="F9" s="36">
        <f>$B9*E9*(1+'Cost Summary'!$C$70)</f>
        <v>0</v>
      </c>
      <c r="G9" s="37"/>
      <c r="H9" s="36">
        <f>$B9*G9*(1+'Cost Summary'!$C$70)^2</f>
        <v>0</v>
      </c>
      <c r="I9" s="37"/>
      <c r="J9" s="36">
        <f>$B9*I9*(1+'Cost Summary'!$C$70)^3</f>
        <v>0</v>
      </c>
      <c r="K9" s="37"/>
      <c r="L9" s="36">
        <f>$B9*K9*(1+'Cost Summary'!$C$70)^4</f>
        <v>0</v>
      </c>
      <c r="M9" s="36">
        <f t="shared" si="1"/>
        <v>0</v>
      </c>
    </row>
    <row r="10" spans="1:17">
      <c r="A10" s="31"/>
      <c r="B10" s="33"/>
      <c r="C10" s="38"/>
      <c r="D10" s="35">
        <f t="shared" si="0"/>
        <v>0</v>
      </c>
      <c r="E10" s="33"/>
      <c r="F10" s="35">
        <f>$B10*E10*(1+'Cost Summary'!$C$70)</f>
        <v>0</v>
      </c>
      <c r="G10" s="33"/>
      <c r="H10" s="35">
        <f>$B10*G10*(1+'Cost Summary'!$C$70)^2</f>
        <v>0</v>
      </c>
      <c r="I10" s="33"/>
      <c r="J10" s="35">
        <f>$B10*I10*(1+'Cost Summary'!$C$70)^3</f>
        <v>0</v>
      </c>
      <c r="K10" s="33"/>
      <c r="L10" s="35">
        <f>$B10*K10*(1+'Cost Summary'!$C$70)^4</f>
        <v>0</v>
      </c>
      <c r="M10" s="35">
        <f t="shared" si="1"/>
        <v>0</v>
      </c>
    </row>
    <row r="11" spans="1:17" ht="12" thickBot="1">
      <c r="A11" s="39"/>
      <c r="B11" s="40"/>
      <c r="C11" s="41"/>
      <c r="D11" s="42">
        <f>$B11*C11</f>
        <v>0</v>
      </c>
      <c r="E11" s="43"/>
      <c r="F11" s="42">
        <f>$B11*E11*(1+'Cost Summary'!$C$70)</f>
        <v>0</v>
      </c>
      <c r="G11" s="43"/>
      <c r="H11" s="42">
        <f>$B11*G11*(1+'Cost Summary'!$C$70)^2</f>
        <v>0</v>
      </c>
      <c r="I11" s="43"/>
      <c r="J11" s="42">
        <f>$B11*I11*(1+'Cost Summary'!$C$70)^3</f>
        <v>0</v>
      </c>
      <c r="K11" s="43"/>
      <c r="L11" s="42">
        <f>$B11*K11*(1+'Cost Summary'!$C$70)^4</f>
        <v>0</v>
      </c>
      <c r="M11" s="42">
        <f>SUM(D11,F11,H11,J11,L11)</f>
        <v>0</v>
      </c>
    </row>
    <row r="12" spans="1:17">
      <c r="A12" s="191" t="s">
        <v>85</v>
      </c>
      <c r="B12" s="192"/>
      <c r="C12" s="44"/>
      <c r="D12" s="45">
        <f>SUM(D3:D11)</f>
        <v>0</v>
      </c>
      <c r="E12" s="45"/>
      <c r="F12" s="45">
        <f t="shared" ref="F12:L12" si="2">SUM(F3:F11)</f>
        <v>0</v>
      </c>
      <c r="G12" s="45"/>
      <c r="H12" s="45">
        <f t="shared" si="2"/>
        <v>0</v>
      </c>
      <c r="I12" s="45"/>
      <c r="J12" s="45">
        <f t="shared" si="2"/>
        <v>0</v>
      </c>
      <c r="K12" s="45"/>
      <c r="L12" s="45">
        <f t="shared" si="2"/>
        <v>0</v>
      </c>
      <c r="M12" s="45">
        <f>SUM(D12,F12,H12,J12,L12)</f>
        <v>0</v>
      </c>
      <c r="P12" s="14"/>
      <c r="Q12" s="14"/>
    </row>
    <row r="13" spans="1:17">
      <c r="A13" s="46" t="s">
        <v>150</v>
      </c>
    </row>
    <row r="14" spans="1:17">
      <c r="A14" s="46"/>
    </row>
    <row r="15" spans="1:17" ht="12" customHeight="1">
      <c r="A15" s="197"/>
      <c r="B15" s="197"/>
      <c r="C15" s="197"/>
      <c r="D15" s="197"/>
      <c r="E15" s="197"/>
      <c r="F15" s="197"/>
      <c r="G15" s="197"/>
      <c r="H15" s="197"/>
      <c r="I15" s="197"/>
      <c r="J15" s="197"/>
      <c r="K15" s="197"/>
      <c r="L15" s="197"/>
      <c r="M15" s="197"/>
    </row>
    <row r="16" spans="1:17">
      <c r="C16" s="184" t="s">
        <v>2</v>
      </c>
      <c r="D16" s="184"/>
      <c r="E16" s="184" t="s">
        <v>3</v>
      </c>
      <c r="F16" s="184"/>
      <c r="G16" s="184" t="s">
        <v>4</v>
      </c>
      <c r="H16" s="184"/>
      <c r="I16" s="184" t="s">
        <v>5</v>
      </c>
      <c r="J16" s="184"/>
      <c r="K16" s="184" t="s">
        <v>6</v>
      </c>
      <c r="L16" s="184"/>
    </row>
    <row r="17" spans="1:13">
      <c r="A17" s="13" t="s">
        <v>151</v>
      </c>
      <c r="B17" s="13" t="s">
        <v>148</v>
      </c>
      <c r="C17" s="13" t="s">
        <v>152</v>
      </c>
      <c r="D17" s="13" t="s">
        <v>65</v>
      </c>
      <c r="E17" s="13" t="s">
        <v>152</v>
      </c>
      <c r="F17" s="13" t="s">
        <v>65</v>
      </c>
      <c r="G17" s="13" t="s">
        <v>152</v>
      </c>
      <c r="H17" s="13" t="s">
        <v>65</v>
      </c>
      <c r="I17" s="13" t="s">
        <v>152</v>
      </c>
      <c r="J17" s="13" t="s">
        <v>65</v>
      </c>
      <c r="K17" s="13" t="s">
        <v>152</v>
      </c>
      <c r="L17" s="13" t="s">
        <v>65</v>
      </c>
      <c r="M17" s="13" t="s">
        <v>66</v>
      </c>
    </row>
    <row r="18" spans="1:13">
      <c r="A18" s="31"/>
      <c r="B18" s="32"/>
      <c r="C18" s="33"/>
      <c r="D18" s="34">
        <f>$B18*C18</f>
        <v>0</v>
      </c>
      <c r="E18" s="33"/>
      <c r="F18" s="34">
        <f>$B18*E18*(1+'Cost Summary'!$C$70)</f>
        <v>0</v>
      </c>
      <c r="G18" s="33"/>
      <c r="H18" s="34">
        <f>$B18*G18*(1+'Cost Summary'!$C$70)^2</f>
        <v>0</v>
      </c>
      <c r="I18" s="33"/>
      <c r="J18" s="34">
        <f>$B18*I18*(1+'Cost Summary'!$C$70)^3</f>
        <v>0</v>
      </c>
      <c r="K18" s="33"/>
      <c r="L18" s="34">
        <f>$B18*K18*(1+'Cost Summary'!$C$70)^4</f>
        <v>0</v>
      </c>
      <c r="M18" s="34">
        <f>SUM(D18,F18,H18,J18,L18)</f>
        <v>0</v>
      </c>
    </row>
    <row r="19" spans="1:13">
      <c r="A19" s="31"/>
      <c r="B19" s="33"/>
      <c r="C19" s="35"/>
      <c r="D19" s="35">
        <f>$B19*C19</f>
        <v>0</v>
      </c>
      <c r="E19" s="35"/>
      <c r="F19" s="35">
        <f>$B19*E19*(1+'Cost Summary'!$C$70)</f>
        <v>0</v>
      </c>
      <c r="G19" s="35"/>
      <c r="H19" s="35">
        <f>$B19*G19*(1+'Cost Summary'!$C$70)^2</f>
        <v>0</v>
      </c>
      <c r="I19" s="35"/>
      <c r="J19" s="35">
        <f>$B19*I19*(1+'Cost Summary'!$C$70)^3</f>
        <v>0</v>
      </c>
      <c r="K19" s="35"/>
      <c r="L19" s="35">
        <f>$B19*K19*(1+'Cost Summary'!$C$70)^4</f>
        <v>0</v>
      </c>
      <c r="M19" s="35">
        <f>SUM(D19,F19,H19,J19,L19)</f>
        <v>0</v>
      </c>
    </row>
    <row r="20" spans="1:13">
      <c r="A20" s="39"/>
      <c r="B20" s="40"/>
      <c r="C20" s="47"/>
      <c r="D20" s="47">
        <f>$B20*C20</f>
        <v>0</v>
      </c>
      <c r="E20" s="47"/>
      <c r="F20" s="47">
        <f>$B20*E20*(1+'Cost Summary'!$C$70)</f>
        <v>0</v>
      </c>
      <c r="G20" s="47"/>
      <c r="H20" s="47">
        <f>$B20*G20*(1+'Cost Summary'!$C$70)^2</f>
        <v>0</v>
      </c>
      <c r="I20" s="47"/>
      <c r="J20" s="47">
        <f>$B20*I20*(1+'Cost Summary'!$C$70)^3</f>
        <v>0</v>
      </c>
      <c r="K20" s="47"/>
      <c r="L20" s="47">
        <f>$B20*K20*(1+'Cost Summary'!$C$70)^4</f>
        <v>0</v>
      </c>
      <c r="M20" s="47">
        <f>SUM(D20,F20,H20,J20,L20)</f>
        <v>0</v>
      </c>
    </row>
    <row r="21" spans="1:13">
      <c r="A21" s="191" t="s">
        <v>85</v>
      </c>
      <c r="B21" s="192"/>
      <c r="C21" s="44"/>
      <c r="D21" s="45">
        <f>SUM(D18:D20)</f>
        <v>0</v>
      </c>
      <c r="E21" s="45"/>
      <c r="F21" s="45">
        <f>SUM(F18:F20)</f>
        <v>0</v>
      </c>
      <c r="G21" s="45"/>
      <c r="H21" s="45">
        <f>SUM(H18:H20)</f>
        <v>0</v>
      </c>
      <c r="I21" s="45"/>
      <c r="J21" s="45">
        <f>SUM(J18:J20)</f>
        <v>0</v>
      </c>
      <c r="K21" s="45"/>
      <c r="L21" s="45">
        <f>SUM(L18:L20)</f>
        <v>0</v>
      </c>
      <c r="M21" s="45">
        <f>SUM(D21,F21,H21,J21,L21)</f>
        <v>0</v>
      </c>
    </row>
    <row r="22" spans="1:13">
      <c r="A22" s="46" t="s">
        <v>153</v>
      </c>
    </row>
    <row r="24" spans="1:13" ht="12" customHeight="1">
      <c r="A24" s="196"/>
      <c r="B24" s="196"/>
      <c r="C24" s="196"/>
      <c r="D24" s="196"/>
      <c r="E24" s="196"/>
      <c r="F24" s="196"/>
      <c r="G24" s="196"/>
      <c r="H24" s="196"/>
      <c r="I24" s="196"/>
      <c r="J24" s="196"/>
      <c r="K24" s="196"/>
      <c r="L24" s="196"/>
      <c r="M24" s="196"/>
    </row>
    <row r="25" spans="1:13">
      <c r="C25" s="184" t="s">
        <v>2</v>
      </c>
      <c r="D25" s="184"/>
      <c r="E25" s="184" t="s">
        <v>3</v>
      </c>
      <c r="F25" s="184"/>
      <c r="G25" s="184" t="s">
        <v>4</v>
      </c>
      <c r="H25" s="184"/>
      <c r="I25" s="184" t="s">
        <v>5</v>
      </c>
      <c r="J25" s="184"/>
      <c r="K25" s="184" t="s">
        <v>6</v>
      </c>
      <c r="L25" s="184"/>
    </row>
    <row r="26" spans="1:13">
      <c r="A26" s="13" t="s">
        <v>154</v>
      </c>
      <c r="B26" s="13" t="s">
        <v>148</v>
      </c>
      <c r="C26" s="13" t="s">
        <v>149</v>
      </c>
      <c r="D26" s="13" t="s">
        <v>65</v>
      </c>
      <c r="E26" s="13" t="s">
        <v>149</v>
      </c>
      <c r="F26" s="13" t="s">
        <v>65</v>
      </c>
      <c r="G26" s="13" t="s">
        <v>149</v>
      </c>
      <c r="H26" s="13" t="s">
        <v>65</v>
      </c>
      <c r="I26" s="13" t="s">
        <v>149</v>
      </c>
      <c r="J26" s="13" t="s">
        <v>65</v>
      </c>
      <c r="K26" s="13" t="s">
        <v>149</v>
      </c>
      <c r="L26" s="13" t="s">
        <v>65</v>
      </c>
      <c r="M26" s="13" t="s">
        <v>66</v>
      </c>
    </row>
    <row r="27" spans="1:13">
      <c r="A27" s="31"/>
      <c r="B27" s="32"/>
      <c r="C27" s="33"/>
      <c r="D27" s="34">
        <f>$B27*C27</f>
        <v>0</v>
      </c>
      <c r="E27" s="33"/>
      <c r="F27" s="34">
        <f>$B27*E27*(1+'Cost Summary'!$C$70)</f>
        <v>0</v>
      </c>
      <c r="G27" s="33"/>
      <c r="H27" s="34">
        <f>$B27*G27*(1+'Cost Summary'!$C$70)^2</f>
        <v>0</v>
      </c>
      <c r="I27" s="33"/>
      <c r="J27" s="34">
        <f>$B27*I27*(1+'Cost Summary'!$C$70)^3</f>
        <v>0</v>
      </c>
      <c r="K27" s="33"/>
      <c r="L27" s="34">
        <f>$B27*K27*(1+'Cost Summary'!$C$70)^4</f>
        <v>0</v>
      </c>
      <c r="M27" s="34">
        <f>SUM(D27,F27,H27,J27,L27)</f>
        <v>0</v>
      </c>
    </row>
    <row r="28" spans="1:13">
      <c r="A28" s="31"/>
      <c r="B28" s="33"/>
      <c r="C28" s="35"/>
      <c r="D28" s="35">
        <f>$B28*C28</f>
        <v>0</v>
      </c>
      <c r="E28" s="35"/>
      <c r="F28" s="35">
        <f>$B28*E28*(1+'Cost Summary'!$C$70)</f>
        <v>0</v>
      </c>
      <c r="G28" s="35"/>
      <c r="H28" s="35">
        <f>$B28*G28*(1+'Cost Summary'!$C$70)^2</f>
        <v>0</v>
      </c>
      <c r="I28" s="35"/>
      <c r="J28" s="35">
        <f>$B28*I28*(1+'Cost Summary'!$C$70)^3</f>
        <v>0</v>
      </c>
      <c r="K28" s="35"/>
      <c r="L28" s="35">
        <f>$B28*K28*(1+'Cost Summary'!$C$70)^4</f>
        <v>0</v>
      </c>
      <c r="M28" s="35">
        <f>SUM(D28,F28,H28,J28,L28)</f>
        <v>0</v>
      </c>
    </row>
    <row r="29" spans="1:13">
      <c r="A29" s="31"/>
      <c r="B29" s="33"/>
      <c r="C29" s="35"/>
      <c r="D29" s="36">
        <f>$B29*C29</f>
        <v>0</v>
      </c>
      <c r="E29" s="35"/>
      <c r="F29" s="36">
        <f>$B29*E29*(1+'Cost Summary'!$C$70)</f>
        <v>0</v>
      </c>
      <c r="G29" s="35"/>
      <c r="H29" s="36">
        <f>$B29*G29*(1+'Cost Summary'!$C$70)^2</f>
        <v>0</v>
      </c>
      <c r="I29" s="35"/>
      <c r="J29" s="36">
        <f>$B29*I29*(1+'Cost Summary'!$C$70)^3</f>
        <v>0</v>
      </c>
      <c r="K29" s="35"/>
      <c r="L29" s="36">
        <f>$B29*K29*(1+'Cost Summary'!$C$70)^4</f>
        <v>0</v>
      </c>
      <c r="M29" s="36">
        <f>SUM(D29,F29,H29,J29,L29)</f>
        <v>0</v>
      </c>
    </row>
    <row r="30" spans="1:13">
      <c r="A30" s="39"/>
      <c r="B30" s="40"/>
      <c r="C30" s="48"/>
      <c r="D30" s="42">
        <f>$B30*C30</f>
        <v>0</v>
      </c>
      <c r="E30" s="48"/>
      <c r="F30" s="42">
        <f>$B30*E30*(1+'Cost Summary'!$C$70)</f>
        <v>0</v>
      </c>
      <c r="G30" s="48"/>
      <c r="H30" s="42">
        <f>$B30*G30*(1+'Cost Summary'!$C$70)^2</f>
        <v>0</v>
      </c>
      <c r="I30" s="48"/>
      <c r="J30" s="42">
        <f>$B30*I30*(1+'Cost Summary'!$C$70)^3</f>
        <v>0</v>
      </c>
      <c r="K30" s="48"/>
      <c r="L30" s="42">
        <f>$B30*K30*(1+'Cost Summary'!$C$70)^4</f>
        <v>0</v>
      </c>
      <c r="M30" s="42">
        <f>SUM(D30,F30,H30,J30,L30)</f>
        <v>0</v>
      </c>
    </row>
    <row r="31" spans="1:13">
      <c r="A31" s="191" t="s">
        <v>85</v>
      </c>
      <c r="B31" s="192"/>
      <c r="C31" s="45"/>
      <c r="D31" s="45">
        <f>SUM(D27:D30)</f>
        <v>0</v>
      </c>
      <c r="E31" s="45"/>
      <c r="F31" s="45">
        <f>SUM(F27:F30)</f>
        <v>0</v>
      </c>
      <c r="G31" s="45"/>
      <c r="H31" s="45">
        <f>SUM(H27:H30)</f>
        <v>0</v>
      </c>
      <c r="I31" s="45"/>
      <c r="J31" s="45">
        <f>SUM(J27:J30)</f>
        <v>0</v>
      </c>
      <c r="K31" s="45"/>
      <c r="L31" s="45">
        <f>SUM(L27:L30)</f>
        <v>0</v>
      </c>
      <c r="M31" s="45">
        <f>SUM(M27:M30)</f>
        <v>0</v>
      </c>
    </row>
    <row r="32" spans="1:13">
      <c r="A32" s="46" t="s">
        <v>155</v>
      </c>
    </row>
    <row r="33" spans="1:13">
      <c r="A33" s="46"/>
    </row>
    <row r="34" spans="1:13">
      <c r="A34" s="197"/>
      <c r="B34" s="197"/>
      <c r="C34" s="197"/>
      <c r="D34" s="197"/>
      <c r="E34" s="197"/>
      <c r="F34" s="197"/>
      <c r="G34" s="197"/>
      <c r="H34" s="197"/>
      <c r="I34" s="197"/>
      <c r="J34" s="197"/>
      <c r="K34" s="197"/>
      <c r="L34" s="197"/>
      <c r="M34" s="197"/>
    </row>
    <row r="35" spans="1:13">
      <c r="A35" s="49"/>
      <c r="C35" s="184" t="s">
        <v>2</v>
      </c>
      <c r="D35" s="184"/>
      <c r="E35" s="184" t="s">
        <v>3</v>
      </c>
      <c r="F35" s="184"/>
      <c r="G35" s="184" t="s">
        <v>4</v>
      </c>
      <c r="H35" s="184"/>
      <c r="I35" s="184" t="s">
        <v>5</v>
      </c>
      <c r="J35" s="184"/>
      <c r="K35" s="184" t="s">
        <v>6</v>
      </c>
      <c r="L35" s="184"/>
    </row>
    <row r="36" spans="1:13">
      <c r="A36" s="13" t="s">
        <v>156</v>
      </c>
      <c r="B36" s="13" t="s">
        <v>148</v>
      </c>
      <c r="C36" s="13" t="s">
        <v>149</v>
      </c>
      <c r="D36" s="13" t="s">
        <v>65</v>
      </c>
      <c r="E36" s="13" t="s">
        <v>149</v>
      </c>
      <c r="F36" s="13" t="s">
        <v>65</v>
      </c>
      <c r="G36" s="13" t="s">
        <v>149</v>
      </c>
      <c r="H36" s="13" t="s">
        <v>65</v>
      </c>
      <c r="I36" s="13" t="s">
        <v>149</v>
      </c>
      <c r="J36" s="13" t="s">
        <v>65</v>
      </c>
      <c r="K36" s="13" t="s">
        <v>149</v>
      </c>
      <c r="L36" s="13" t="s">
        <v>65</v>
      </c>
      <c r="M36" s="13" t="s">
        <v>66</v>
      </c>
    </row>
    <row r="37" spans="1:13">
      <c r="A37" s="31"/>
      <c r="B37" s="50"/>
      <c r="C37" s="37"/>
      <c r="D37" s="51">
        <f>$B37*C37</f>
        <v>0</v>
      </c>
      <c r="E37" s="37"/>
      <c r="F37" s="51">
        <f>$B37*E37*(1+'Cost Summary'!$C$70)</f>
        <v>0</v>
      </c>
      <c r="G37" s="37"/>
      <c r="H37" s="51">
        <f>$B37*G37*(1+'Cost Summary'!$C$70)^2</f>
        <v>0</v>
      </c>
      <c r="I37" s="37"/>
      <c r="J37" s="51">
        <f>$B37*I37*(1+'Cost Summary'!$C$70)^3</f>
        <v>0</v>
      </c>
      <c r="K37" s="37"/>
      <c r="L37" s="51">
        <f>$B37*K37*(1+'Cost Summary'!$C$70)^4</f>
        <v>0</v>
      </c>
      <c r="M37" s="51">
        <f>SUM(D37,F37,H37,J37,L37)</f>
        <v>0</v>
      </c>
    </row>
    <row r="38" spans="1:13">
      <c r="A38" s="52"/>
      <c r="B38" s="43"/>
      <c r="C38" s="43"/>
      <c r="D38" s="42">
        <f>$B38*C38</f>
        <v>0</v>
      </c>
      <c r="E38" s="43"/>
      <c r="F38" s="42">
        <f>$B38*E38*(1+'Cost Summary'!$C$70)</f>
        <v>0</v>
      </c>
      <c r="G38" s="43"/>
      <c r="H38" s="42">
        <f>$B38*G38*(1+'Cost Summary'!$C$70)^2</f>
        <v>0</v>
      </c>
      <c r="I38" s="43"/>
      <c r="J38" s="42">
        <f>$B38*I38*(1+'Cost Summary'!$C$70)^3</f>
        <v>0</v>
      </c>
      <c r="K38" s="43"/>
      <c r="L38" s="42">
        <f>$B38*K38*(1+'Cost Summary'!$C$70)^4</f>
        <v>0</v>
      </c>
      <c r="M38" s="42">
        <f>SUM(D38,F38,H38,J38,L38)</f>
        <v>0</v>
      </c>
    </row>
    <row r="39" spans="1:13">
      <c r="A39" s="191" t="s">
        <v>85</v>
      </c>
      <c r="B39" s="192"/>
      <c r="C39" s="45"/>
      <c r="D39" s="45">
        <f>SUM(D37:D38)</f>
        <v>0</v>
      </c>
      <c r="E39" s="45"/>
      <c r="F39" s="45">
        <f>SUM(F37:F38)</f>
        <v>0</v>
      </c>
      <c r="G39" s="45"/>
      <c r="H39" s="45">
        <f>SUM(H37:H38)</f>
        <v>0</v>
      </c>
      <c r="I39" s="45"/>
      <c r="J39" s="45">
        <f>SUM(J37:J38)</f>
        <v>0</v>
      </c>
      <c r="K39" s="45"/>
      <c r="L39" s="45">
        <f>SUM(L37:L38)</f>
        <v>0</v>
      </c>
      <c r="M39" s="45">
        <f>SUM(M37:M38)</f>
        <v>0</v>
      </c>
    </row>
    <row r="40" spans="1:13">
      <c r="A40" s="46" t="s">
        <v>157</v>
      </c>
    </row>
  </sheetData>
  <mergeCells count="27">
    <mergeCell ref="A31:B31"/>
    <mergeCell ref="A39:B39"/>
    <mergeCell ref="C16:D16"/>
    <mergeCell ref="A15:M15"/>
    <mergeCell ref="E16:F16"/>
    <mergeCell ref="G16:H16"/>
    <mergeCell ref="C35:D35"/>
    <mergeCell ref="E35:F35"/>
    <mergeCell ref="G35:H35"/>
    <mergeCell ref="A34:M34"/>
    <mergeCell ref="I35:J35"/>
    <mergeCell ref="K35:L35"/>
    <mergeCell ref="I16:J16"/>
    <mergeCell ref="K16:L16"/>
    <mergeCell ref="C25:D25"/>
    <mergeCell ref="E25:F25"/>
    <mergeCell ref="G25:H25"/>
    <mergeCell ref="I25:J25"/>
    <mergeCell ref="K25:L25"/>
    <mergeCell ref="A24:M24"/>
    <mergeCell ref="C1:D1"/>
    <mergeCell ref="E1:F1"/>
    <mergeCell ref="G1:H1"/>
    <mergeCell ref="I1:J1"/>
    <mergeCell ref="K1:L1"/>
    <mergeCell ref="A12:B12"/>
    <mergeCell ref="A21:B2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B10DA858-0AEC-443E-917B-6F1E07DCFAC3}">
          <x14:formula1>
            <xm:f>References!$D$3:$D$22</xm:f>
          </x14:formula1>
          <xm:sqref>N3:N11 N37:N38 N27:N30 N18:N20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N15" sqref="N15"/>
    </sheetView>
  </sheetViews>
  <sheetFormatPr defaultColWidth="9.140625" defaultRowHeight="11.45"/>
  <cols>
    <col min="1" max="1" width="9.140625" style="1" customWidth="1"/>
    <col min="2" max="16384" width="9.140625" style="1"/>
  </cols>
  <sheetData>
    <row r="1" spans="1:1">
      <c r="A1" s="29" t="s">
        <v>158</v>
      </c>
    </row>
    <row r="2" spans="1:1">
      <c r="A2" s="29" t="s">
        <v>159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5F03C-0762-496C-BF27-935964D767F7}">
  <dimension ref="A1:A2"/>
  <sheetViews>
    <sheetView workbookViewId="0">
      <selection activeCell="N15" sqref="N15"/>
    </sheetView>
  </sheetViews>
  <sheetFormatPr defaultColWidth="9.140625" defaultRowHeight="11.45"/>
  <cols>
    <col min="1" max="1" width="9.140625" style="1" customWidth="1"/>
    <col min="2" max="16384" width="9.140625" style="1"/>
  </cols>
  <sheetData>
    <row r="1" spans="1:1">
      <c r="A1" s="29" t="s">
        <v>158</v>
      </c>
    </row>
    <row r="2" spans="1:1">
      <c r="A2" s="29" t="s">
        <v>159</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4BDED-9C90-47DD-A29D-25F9DF614D87}">
  <dimension ref="A1:A2"/>
  <sheetViews>
    <sheetView workbookViewId="0"/>
  </sheetViews>
  <sheetFormatPr defaultColWidth="9.140625" defaultRowHeight="12"/>
  <cols>
    <col min="1" max="1" width="9.140625" style="1" customWidth="1"/>
    <col min="2" max="16384" width="9.140625" style="1"/>
  </cols>
  <sheetData>
    <row r="1" spans="1:1">
      <c r="A1" s="29" t="s">
        <v>158</v>
      </c>
    </row>
    <row r="2" spans="1:1">
      <c r="A2" s="29" t="s">
        <v>159</v>
      </c>
    </row>
  </sheetData>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26"/>
  <sheetViews>
    <sheetView workbookViewId="0">
      <selection activeCell="N15" sqref="N15"/>
    </sheetView>
  </sheetViews>
  <sheetFormatPr defaultColWidth="9.140625" defaultRowHeight="11.45"/>
  <cols>
    <col min="1" max="1" width="23.42578125" style="1" bestFit="1" customWidth="1"/>
    <col min="2" max="6" width="12.5703125" style="1" bestFit="1" customWidth="1"/>
    <col min="7" max="7" width="14.28515625" style="1" bestFit="1" customWidth="1"/>
    <col min="8" max="8" width="2.7109375" style="1" customWidth="1"/>
    <col min="9" max="9" width="19.28515625" style="1" bestFit="1" customWidth="1"/>
    <col min="10" max="14" width="11.5703125" style="1" bestFit="1" customWidth="1"/>
    <col min="15" max="15" width="12.5703125" style="1" bestFit="1" customWidth="1"/>
    <col min="16" max="16" width="3.28515625" style="1" customWidth="1"/>
    <col min="17" max="18" width="11.5703125" style="1" bestFit="1" customWidth="1"/>
    <col min="19" max="27" width="12.5703125" style="1" bestFit="1" customWidth="1"/>
    <col min="28" max="16384" width="9.140625" style="1"/>
  </cols>
  <sheetData>
    <row r="1" spans="1:27">
      <c r="A1" s="2" t="s">
        <v>1</v>
      </c>
      <c r="B1" s="3" t="s">
        <v>2</v>
      </c>
      <c r="C1" s="3" t="s">
        <v>3</v>
      </c>
      <c r="D1" s="3" t="s">
        <v>4</v>
      </c>
      <c r="E1" s="3" t="s">
        <v>5</v>
      </c>
      <c r="F1" s="3" t="s">
        <v>6</v>
      </c>
      <c r="G1" s="3" t="s">
        <v>7</v>
      </c>
      <c r="I1" s="2" t="s">
        <v>160</v>
      </c>
      <c r="J1" s="3" t="s">
        <v>2</v>
      </c>
      <c r="K1" s="3" t="s">
        <v>3</v>
      </c>
      <c r="L1" s="3" t="s">
        <v>4</v>
      </c>
      <c r="M1" s="3" t="s">
        <v>5</v>
      </c>
      <c r="N1" s="3" t="s">
        <v>6</v>
      </c>
      <c r="O1" s="3" t="s">
        <v>7</v>
      </c>
      <c r="Q1" s="3" t="s">
        <v>161</v>
      </c>
      <c r="R1" s="3" t="s">
        <v>162</v>
      </c>
      <c r="S1" s="3" t="s">
        <v>163</v>
      </c>
      <c r="T1" s="3" t="s">
        <v>164</v>
      </c>
      <c r="U1" s="3" t="s">
        <v>165</v>
      </c>
      <c r="V1" s="3" t="s">
        <v>166</v>
      </c>
      <c r="W1" s="3" t="s">
        <v>167</v>
      </c>
      <c r="X1" s="3" t="s">
        <v>168</v>
      </c>
      <c r="Y1" s="3" t="s">
        <v>169</v>
      </c>
      <c r="Z1" s="3" t="s">
        <v>170</v>
      </c>
      <c r="AA1" s="3" t="s">
        <v>171</v>
      </c>
    </row>
    <row r="2" spans="1:27">
      <c r="A2" s="1" t="str">
        <f>'Cost Summary'!B4</f>
        <v>Personnel</v>
      </c>
      <c r="B2" s="4">
        <f>'Cost Summary'!C4</f>
        <v>30462.252499999999</v>
      </c>
      <c r="C2" s="4">
        <f>'Cost Summary'!D4</f>
        <v>0</v>
      </c>
      <c r="D2" s="4">
        <f>'Cost Summary'!E4</f>
        <v>0</v>
      </c>
      <c r="E2" s="4">
        <f>'Cost Summary'!F4</f>
        <v>0</v>
      </c>
      <c r="F2" s="4">
        <f>'Cost Summary'!G4</f>
        <v>0</v>
      </c>
      <c r="G2" s="4">
        <f t="shared" ref="G2:G10" si="0">SUM(B2:F2)</f>
        <v>30462.252499999999</v>
      </c>
      <c r="I2" s="1" t="str">
        <f>A2</f>
        <v>Personnel</v>
      </c>
      <c r="J2" s="4">
        <f>B2/12</f>
        <v>2538.5210416666664</v>
      </c>
      <c r="K2" s="4">
        <f t="shared" ref="K2:O14" si="1">C2/12</f>
        <v>0</v>
      </c>
      <c r="L2" s="4">
        <f t="shared" si="1"/>
        <v>0</v>
      </c>
      <c r="M2" s="4">
        <f t="shared" si="1"/>
        <v>0</v>
      </c>
      <c r="N2" s="4">
        <f t="shared" si="1"/>
        <v>0</v>
      </c>
      <c r="O2" s="4">
        <f t="shared" si="1"/>
        <v>2538.5210416666664</v>
      </c>
      <c r="Q2" s="4">
        <f>J2*2</f>
        <v>5077.0420833333328</v>
      </c>
      <c r="R2" s="4">
        <f>J2*3</f>
        <v>7615.5631249999988</v>
      </c>
      <c r="S2" s="4">
        <f>J2*4</f>
        <v>10154.084166666666</v>
      </c>
      <c r="T2" s="4">
        <f>J2*5</f>
        <v>12692.605208333332</v>
      </c>
      <c r="U2" s="4">
        <f>J2*6</f>
        <v>15231.126249999998</v>
      </c>
      <c r="V2" s="4">
        <f>J2*7</f>
        <v>17769.647291666664</v>
      </c>
      <c r="W2" s="4">
        <f>J2*8</f>
        <v>20308.168333333331</v>
      </c>
      <c r="X2" s="4">
        <f>J2*9</f>
        <v>22846.689374999998</v>
      </c>
      <c r="Y2" s="4">
        <f>J2*10</f>
        <v>25385.210416666665</v>
      </c>
      <c r="Z2" s="4">
        <f>J2*11</f>
        <v>27923.731458333332</v>
      </c>
      <c r="AA2" s="4">
        <f>J2*12</f>
        <v>30462.252499999995</v>
      </c>
    </row>
    <row r="3" spans="1:27">
      <c r="A3" s="1" t="str">
        <f>'Cost Summary'!B6</f>
        <v>Supplies</v>
      </c>
      <c r="B3" s="7">
        <f>'Cost Summary'!C6</f>
        <v>0</v>
      </c>
      <c r="C3" s="7">
        <f>'Cost Summary'!D6</f>
        <v>0</v>
      </c>
      <c r="D3" s="7">
        <f>'Cost Summary'!E6</f>
        <v>0</v>
      </c>
      <c r="E3" s="7">
        <f>'Cost Summary'!F6</f>
        <v>0</v>
      </c>
      <c r="F3" s="7">
        <f>'Cost Summary'!G6</f>
        <v>0</v>
      </c>
      <c r="G3" s="7">
        <f t="shared" si="0"/>
        <v>0</v>
      </c>
      <c r="I3" s="1" t="str">
        <f t="shared" ref="I3:I21" si="2">A3</f>
        <v>Supplies</v>
      </c>
      <c r="J3" s="7">
        <f t="shared" ref="J3:J14" si="3">B3/12</f>
        <v>0</v>
      </c>
      <c r="K3" s="7">
        <f t="shared" si="1"/>
        <v>0</v>
      </c>
      <c r="L3" s="7">
        <f t="shared" si="1"/>
        <v>0</v>
      </c>
      <c r="M3" s="7">
        <f t="shared" si="1"/>
        <v>0</v>
      </c>
      <c r="N3" s="7">
        <f t="shared" si="1"/>
        <v>0</v>
      </c>
      <c r="O3" s="7">
        <f t="shared" si="1"/>
        <v>0</v>
      </c>
      <c r="Q3" s="7">
        <f t="shared" ref="Q3:Q24" si="4">J3*2</f>
        <v>0</v>
      </c>
      <c r="R3" s="7">
        <f t="shared" ref="R3:R25" si="5">J3*3</f>
        <v>0</v>
      </c>
      <c r="S3" s="7">
        <f t="shared" ref="S3:S25" si="6">J3*4</f>
        <v>0</v>
      </c>
      <c r="T3" s="7">
        <f t="shared" ref="T3:T25" si="7">J3*5</f>
        <v>0</v>
      </c>
      <c r="U3" s="7">
        <f t="shared" ref="U3:U25" si="8">J3*6</f>
        <v>0</v>
      </c>
      <c r="V3" s="7">
        <f t="shared" ref="V3:V25" si="9">J3*7</f>
        <v>0</v>
      </c>
      <c r="W3" s="7">
        <f t="shared" ref="W3:W25" si="10">J3*8</f>
        <v>0</v>
      </c>
      <c r="X3" s="7">
        <f t="shared" ref="X3:X25" si="11">J3*9</f>
        <v>0</v>
      </c>
      <c r="Y3" s="7">
        <f t="shared" ref="Y3:Y25" si="12">J3*10</f>
        <v>0</v>
      </c>
      <c r="Z3" s="7">
        <f t="shared" ref="Z3:Z25" si="13">J3*11</f>
        <v>0</v>
      </c>
      <c r="AA3" s="7">
        <f t="shared" ref="AA3:AA25" si="14">J3*12</f>
        <v>0</v>
      </c>
    </row>
    <row r="4" spans="1:27">
      <c r="A4" s="1" t="str">
        <f>'Cost Summary'!B5</f>
        <v>Patient Care</v>
      </c>
      <c r="B4" s="7">
        <f>'Cost Summary'!C5</f>
        <v>0</v>
      </c>
      <c r="C4" s="7">
        <f>'Cost Summary'!D5</f>
        <v>0</v>
      </c>
      <c r="D4" s="7">
        <f>'Cost Summary'!E5</f>
        <v>0</v>
      </c>
      <c r="E4" s="7">
        <f>'Cost Summary'!F5</f>
        <v>0</v>
      </c>
      <c r="F4" s="7">
        <f>'Cost Summary'!G5</f>
        <v>0</v>
      </c>
      <c r="G4" s="7">
        <f t="shared" si="0"/>
        <v>0</v>
      </c>
      <c r="I4" s="1" t="str">
        <f t="shared" si="2"/>
        <v>Patient Care</v>
      </c>
      <c r="J4" s="7">
        <f t="shared" si="3"/>
        <v>0</v>
      </c>
      <c r="K4" s="7">
        <f t="shared" si="1"/>
        <v>0</v>
      </c>
      <c r="L4" s="7">
        <f t="shared" si="1"/>
        <v>0</v>
      </c>
      <c r="M4" s="7">
        <f t="shared" si="1"/>
        <v>0</v>
      </c>
      <c r="N4" s="7">
        <f t="shared" si="1"/>
        <v>0</v>
      </c>
      <c r="O4" s="7">
        <f t="shared" si="1"/>
        <v>0</v>
      </c>
      <c r="Q4" s="7">
        <f t="shared" si="4"/>
        <v>0</v>
      </c>
      <c r="R4" s="7">
        <f t="shared" si="5"/>
        <v>0</v>
      </c>
      <c r="S4" s="7">
        <f t="shared" si="6"/>
        <v>0</v>
      </c>
      <c r="T4" s="7">
        <f t="shared" si="7"/>
        <v>0</v>
      </c>
      <c r="U4" s="7">
        <f t="shared" si="8"/>
        <v>0</v>
      </c>
      <c r="V4" s="7">
        <f t="shared" si="9"/>
        <v>0</v>
      </c>
      <c r="W4" s="7">
        <f t="shared" si="10"/>
        <v>0</v>
      </c>
      <c r="X4" s="7">
        <f t="shared" si="11"/>
        <v>0</v>
      </c>
      <c r="Y4" s="7">
        <f t="shared" si="12"/>
        <v>0</v>
      </c>
      <c r="Z4" s="7">
        <f t="shared" si="13"/>
        <v>0</v>
      </c>
      <c r="AA4" s="7">
        <f t="shared" si="14"/>
        <v>0</v>
      </c>
    </row>
    <row r="5" spans="1:27">
      <c r="A5" s="1" t="str">
        <f>'Cost Summary'!B8</f>
        <v>Services &amp; Fees</v>
      </c>
      <c r="B5" s="7">
        <f>'Cost Summary'!C8</f>
        <v>0</v>
      </c>
      <c r="C5" s="7">
        <f>'Cost Summary'!D8</f>
        <v>0</v>
      </c>
      <c r="D5" s="7">
        <f>'Cost Summary'!E8</f>
        <v>0</v>
      </c>
      <c r="E5" s="7">
        <f>'Cost Summary'!F8</f>
        <v>0</v>
      </c>
      <c r="F5" s="7">
        <f>'Cost Summary'!G8</f>
        <v>0</v>
      </c>
      <c r="G5" s="7">
        <f t="shared" si="0"/>
        <v>0</v>
      </c>
      <c r="I5" s="1" t="str">
        <f t="shared" si="2"/>
        <v>Services &amp; Fees</v>
      </c>
      <c r="J5" s="7">
        <f t="shared" si="3"/>
        <v>0</v>
      </c>
      <c r="K5" s="7">
        <f t="shared" si="1"/>
        <v>0</v>
      </c>
      <c r="L5" s="7">
        <f t="shared" si="1"/>
        <v>0</v>
      </c>
      <c r="M5" s="7">
        <f t="shared" si="1"/>
        <v>0</v>
      </c>
      <c r="N5" s="7">
        <f t="shared" si="1"/>
        <v>0</v>
      </c>
      <c r="O5" s="7">
        <f t="shared" si="1"/>
        <v>0</v>
      </c>
      <c r="Q5" s="7">
        <f t="shared" si="4"/>
        <v>0</v>
      </c>
      <c r="R5" s="7">
        <f t="shared" si="5"/>
        <v>0</v>
      </c>
      <c r="S5" s="7">
        <f t="shared" si="6"/>
        <v>0</v>
      </c>
      <c r="T5" s="7">
        <f t="shared" si="7"/>
        <v>0</v>
      </c>
      <c r="U5" s="7">
        <f t="shared" si="8"/>
        <v>0</v>
      </c>
      <c r="V5" s="7">
        <f t="shared" si="9"/>
        <v>0</v>
      </c>
      <c r="W5" s="7">
        <f t="shared" si="10"/>
        <v>0</v>
      </c>
      <c r="X5" s="7">
        <f t="shared" si="11"/>
        <v>0</v>
      </c>
      <c r="Y5" s="7">
        <f t="shared" si="12"/>
        <v>0</v>
      </c>
      <c r="Z5" s="7">
        <f t="shared" si="13"/>
        <v>0</v>
      </c>
      <c r="AA5" s="7">
        <f t="shared" si="14"/>
        <v>0</v>
      </c>
    </row>
    <row r="6" spans="1:27">
      <c r="A6" s="1" t="str">
        <f>'Cost Summary'!B7</f>
        <v>Travel</v>
      </c>
      <c r="B6" s="7">
        <f>'Cost Summary'!C7</f>
        <v>0</v>
      </c>
      <c r="C6" s="7">
        <f>'Cost Summary'!D7</f>
        <v>0</v>
      </c>
      <c r="D6" s="7">
        <f>'Cost Summary'!E7</f>
        <v>0</v>
      </c>
      <c r="E6" s="7">
        <f>'Cost Summary'!F7</f>
        <v>0</v>
      </c>
      <c r="F6" s="7">
        <f>'Cost Summary'!G7</f>
        <v>0</v>
      </c>
      <c r="G6" s="7">
        <f t="shared" si="0"/>
        <v>0</v>
      </c>
      <c r="I6" s="1" t="str">
        <f t="shared" si="2"/>
        <v>Travel</v>
      </c>
      <c r="J6" s="7">
        <f t="shared" si="3"/>
        <v>0</v>
      </c>
      <c r="K6" s="7">
        <f t="shared" si="1"/>
        <v>0</v>
      </c>
      <c r="L6" s="7">
        <f t="shared" si="1"/>
        <v>0</v>
      </c>
      <c r="M6" s="7">
        <f t="shared" si="1"/>
        <v>0</v>
      </c>
      <c r="N6" s="7">
        <f t="shared" si="1"/>
        <v>0</v>
      </c>
      <c r="O6" s="7">
        <f t="shared" si="1"/>
        <v>0</v>
      </c>
      <c r="Q6" s="7">
        <f t="shared" si="4"/>
        <v>0</v>
      </c>
      <c r="R6" s="7">
        <f t="shared" si="5"/>
        <v>0</v>
      </c>
      <c r="S6" s="7">
        <f t="shared" si="6"/>
        <v>0</v>
      </c>
      <c r="T6" s="7">
        <f t="shared" si="7"/>
        <v>0</v>
      </c>
      <c r="U6" s="7">
        <f t="shared" si="8"/>
        <v>0</v>
      </c>
      <c r="V6" s="7">
        <f t="shared" si="9"/>
        <v>0</v>
      </c>
      <c r="W6" s="7">
        <f t="shared" si="10"/>
        <v>0</v>
      </c>
      <c r="X6" s="7">
        <f t="shared" si="11"/>
        <v>0</v>
      </c>
      <c r="Y6" s="7">
        <f t="shared" si="12"/>
        <v>0</v>
      </c>
      <c r="Z6" s="7">
        <f t="shared" si="13"/>
        <v>0</v>
      </c>
      <c r="AA6" s="7">
        <f t="shared" si="14"/>
        <v>0</v>
      </c>
    </row>
    <row r="7" spans="1:27">
      <c r="A7" s="1" t="str">
        <f>'Cost Summary'!B9</f>
        <v>Equipment</v>
      </c>
      <c r="B7" s="7">
        <f>'Cost Summary'!C9</f>
        <v>0</v>
      </c>
      <c r="C7" s="7">
        <f>'Cost Summary'!D9</f>
        <v>0</v>
      </c>
      <c r="D7" s="7">
        <f>'Cost Summary'!E9</f>
        <v>0</v>
      </c>
      <c r="E7" s="7">
        <f>'Cost Summary'!F9</f>
        <v>0</v>
      </c>
      <c r="F7" s="7">
        <f>'Cost Summary'!G9</f>
        <v>0</v>
      </c>
      <c r="G7" s="7">
        <f t="shared" si="0"/>
        <v>0</v>
      </c>
      <c r="I7" s="1" t="str">
        <f t="shared" si="2"/>
        <v>Equipment</v>
      </c>
      <c r="J7" s="7">
        <f t="shared" si="3"/>
        <v>0</v>
      </c>
      <c r="K7" s="7">
        <f t="shared" si="1"/>
        <v>0</v>
      </c>
      <c r="L7" s="7">
        <f t="shared" si="1"/>
        <v>0</v>
      </c>
      <c r="M7" s="7">
        <f t="shared" si="1"/>
        <v>0</v>
      </c>
      <c r="N7" s="7">
        <f t="shared" si="1"/>
        <v>0</v>
      </c>
      <c r="O7" s="7">
        <f t="shared" si="1"/>
        <v>0</v>
      </c>
      <c r="Q7" s="7">
        <f t="shared" si="4"/>
        <v>0</v>
      </c>
      <c r="R7" s="7">
        <f t="shared" si="5"/>
        <v>0</v>
      </c>
      <c r="S7" s="7">
        <f t="shared" si="6"/>
        <v>0</v>
      </c>
      <c r="T7" s="7">
        <f t="shared" si="7"/>
        <v>0</v>
      </c>
      <c r="U7" s="7">
        <f t="shared" si="8"/>
        <v>0</v>
      </c>
      <c r="V7" s="7">
        <f t="shared" si="9"/>
        <v>0</v>
      </c>
      <c r="W7" s="7">
        <f t="shared" si="10"/>
        <v>0</v>
      </c>
      <c r="X7" s="7">
        <f t="shared" si="11"/>
        <v>0</v>
      </c>
      <c r="Y7" s="7">
        <f t="shared" si="12"/>
        <v>0</v>
      </c>
      <c r="Z7" s="7">
        <f t="shared" si="13"/>
        <v>0</v>
      </c>
      <c r="AA7" s="7">
        <f t="shared" si="14"/>
        <v>0</v>
      </c>
    </row>
    <row r="8" spans="1:27">
      <c r="A8" s="1" t="str">
        <f>'Cost Summary'!B23</f>
        <v>Sub Awards Direct</v>
      </c>
      <c r="B8" s="7">
        <f>'Cost Summary'!C23</f>
        <v>0</v>
      </c>
      <c r="C8" s="7">
        <f>'Cost Summary'!D23</f>
        <v>0</v>
      </c>
      <c r="D8" s="7">
        <f>'Cost Summary'!E23</f>
        <v>0</v>
      </c>
      <c r="E8" s="7">
        <f>'Cost Summary'!F23</f>
        <v>0</v>
      </c>
      <c r="F8" s="7">
        <f>'Cost Summary'!G23</f>
        <v>0</v>
      </c>
      <c r="G8" s="7">
        <f t="shared" si="0"/>
        <v>0</v>
      </c>
      <c r="I8" s="1" t="str">
        <f t="shared" si="2"/>
        <v>Sub Awards Direct</v>
      </c>
      <c r="J8" s="7">
        <f t="shared" si="3"/>
        <v>0</v>
      </c>
      <c r="K8" s="7">
        <f t="shared" si="1"/>
        <v>0</v>
      </c>
      <c r="L8" s="7">
        <f t="shared" si="1"/>
        <v>0</v>
      </c>
      <c r="M8" s="7">
        <f t="shared" si="1"/>
        <v>0</v>
      </c>
      <c r="N8" s="7">
        <f t="shared" si="1"/>
        <v>0</v>
      </c>
      <c r="O8" s="7">
        <f t="shared" si="1"/>
        <v>0</v>
      </c>
      <c r="Q8" s="7">
        <f t="shared" si="4"/>
        <v>0</v>
      </c>
      <c r="R8" s="7">
        <f t="shared" si="5"/>
        <v>0</v>
      </c>
      <c r="S8" s="7">
        <f t="shared" si="6"/>
        <v>0</v>
      </c>
      <c r="T8" s="7">
        <f t="shared" si="7"/>
        <v>0</v>
      </c>
      <c r="U8" s="7">
        <f t="shared" si="8"/>
        <v>0</v>
      </c>
      <c r="V8" s="7">
        <f t="shared" si="9"/>
        <v>0</v>
      </c>
      <c r="W8" s="7">
        <f t="shared" si="10"/>
        <v>0</v>
      </c>
      <c r="X8" s="7">
        <f t="shared" si="11"/>
        <v>0</v>
      </c>
      <c r="Y8" s="7">
        <f t="shared" si="12"/>
        <v>0</v>
      </c>
      <c r="Z8" s="7">
        <f t="shared" si="13"/>
        <v>0</v>
      </c>
      <c r="AA8" s="7">
        <f t="shared" si="14"/>
        <v>0</v>
      </c>
    </row>
    <row r="9" spans="1:27">
      <c r="A9" s="8" t="str">
        <f>'Cost Summary'!B24</f>
        <v>Sub Awards Indirect</v>
      </c>
      <c r="B9" s="9">
        <f>'Cost Summary'!C24</f>
        <v>0</v>
      </c>
      <c r="C9" s="9">
        <f>'Cost Summary'!D24</f>
        <v>0</v>
      </c>
      <c r="D9" s="9">
        <f>'Cost Summary'!E24</f>
        <v>0</v>
      </c>
      <c r="E9" s="9">
        <f>'Cost Summary'!F24</f>
        <v>0</v>
      </c>
      <c r="F9" s="9">
        <f>'Cost Summary'!G24</f>
        <v>0</v>
      </c>
      <c r="G9" s="9">
        <f t="shared" si="0"/>
        <v>0</v>
      </c>
      <c r="I9" s="8" t="str">
        <f t="shared" si="2"/>
        <v>Sub Awards Indirect</v>
      </c>
      <c r="J9" s="9">
        <f t="shared" si="3"/>
        <v>0</v>
      </c>
      <c r="K9" s="9">
        <f t="shared" si="1"/>
        <v>0</v>
      </c>
      <c r="L9" s="9">
        <f t="shared" si="1"/>
        <v>0</v>
      </c>
      <c r="M9" s="9">
        <f t="shared" si="1"/>
        <v>0</v>
      </c>
      <c r="N9" s="9">
        <f t="shared" si="1"/>
        <v>0</v>
      </c>
      <c r="O9" s="9">
        <f t="shared" si="1"/>
        <v>0</v>
      </c>
      <c r="Q9" s="9">
        <f t="shared" si="4"/>
        <v>0</v>
      </c>
      <c r="R9" s="9">
        <f t="shared" si="5"/>
        <v>0</v>
      </c>
      <c r="S9" s="9">
        <f t="shared" si="6"/>
        <v>0</v>
      </c>
      <c r="T9" s="9">
        <f t="shared" si="7"/>
        <v>0</v>
      </c>
      <c r="U9" s="9">
        <f t="shared" si="8"/>
        <v>0</v>
      </c>
      <c r="V9" s="9">
        <f t="shared" si="9"/>
        <v>0</v>
      </c>
      <c r="W9" s="9">
        <f t="shared" si="10"/>
        <v>0</v>
      </c>
      <c r="X9" s="9">
        <f t="shared" si="11"/>
        <v>0</v>
      </c>
      <c r="Y9" s="9">
        <f t="shared" si="12"/>
        <v>0</v>
      </c>
      <c r="Z9" s="9">
        <f t="shared" si="13"/>
        <v>0</v>
      </c>
      <c r="AA9" s="9">
        <f t="shared" si="14"/>
        <v>0</v>
      </c>
    </row>
    <row r="10" spans="1:27">
      <c r="A10" s="8" t="str">
        <f>'Cost Summary'!B25</f>
        <v>Sub Awards MTDC</v>
      </c>
      <c r="B10" s="9">
        <f>'Cost Summary'!C25</f>
        <v>0</v>
      </c>
      <c r="C10" s="9">
        <f>'Cost Summary'!D25</f>
        <v>0</v>
      </c>
      <c r="D10" s="9">
        <f>'Cost Summary'!E25</f>
        <v>0</v>
      </c>
      <c r="E10" s="9">
        <f>'Cost Summary'!F25</f>
        <v>0</v>
      </c>
      <c r="F10" s="9">
        <f>'Cost Summary'!G25</f>
        <v>0</v>
      </c>
      <c r="G10" s="9">
        <f t="shared" si="0"/>
        <v>0</v>
      </c>
      <c r="J10" s="12"/>
      <c r="K10" s="12"/>
      <c r="L10" s="12"/>
      <c r="M10" s="12"/>
      <c r="N10" s="12"/>
      <c r="O10" s="12"/>
      <c r="Q10" s="12"/>
      <c r="R10" s="12"/>
      <c r="S10" s="12"/>
      <c r="T10" s="12"/>
      <c r="U10" s="12"/>
      <c r="V10" s="12"/>
      <c r="W10" s="12"/>
      <c r="X10" s="12"/>
      <c r="Y10" s="12"/>
      <c r="Z10" s="12"/>
      <c r="AA10" s="12"/>
    </row>
    <row r="11" spans="1:27">
      <c r="A11" s="13" t="str">
        <f>'Cost Summary'!B26</f>
        <v>Subtotal Direct Costs</v>
      </c>
      <c r="B11" s="4">
        <f>'Cost Summary'!C26</f>
        <v>30462.252499999999</v>
      </c>
      <c r="C11" s="4">
        <f>'Cost Summary'!D26</f>
        <v>0</v>
      </c>
      <c r="D11" s="4">
        <f>'Cost Summary'!E26</f>
        <v>0</v>
      </c>
      <c r="E11" s="4">
        <f>'Cost Summary'!F26</f>
        <v>0</v>
      </c>
      <c r="F11" s="4">
        <f>'Cost Summary'!G26</f>
        <v>0</v>
      </c>
      <c r="G11" s="4">
        <f>SUM(G2:G9)</f>
        <v>30462.252499999999</v>
      </c>
      <c r="I11" s="13" t="str">
        <f t="shared" si="2"/>
        <v>Subtotal Direct Costs</v>
      </c>
      <c r="J11" s="4">
        <f t="shared" si="3"/>
        <v>2538.5210416666664</v>
      </c>
      <c r="K11" s="4">
        <f t="shared" si="1"/>
        <v>0</v>
      </c>
      <c r="L11" s="4">
        <f t="shared" si="1"/>
        <v>0</v>
      </c>
      <c r="M11" s="4">
        <f t="shared" si="1"/>
        <v>0</v>
      </c>
      <c r="N11" s="4">
        <f t="shared" si="1"/>
        <v>0</v>
      </c>
      <c r="O11" s="4">
        <f t="shared" si="1"/>
        <v>2538.5210416666664</v>
      </c>
      <c r="Q11" s="4">
        <f t="shared" si="4"/>
        <v>5077.0420833333328</v>
      </c>
      <c r="R11" s="4">
        <f t="shared" si="5"/>
        <v>7615.5631249999988</v>
      </c>
      <c r="S11" s="4">
        <f t="shared" si="6"/>
        <v>10154.084166666666</v>
      </c>
      <c r="T11" s="4">
        <f t="shared" si="7"/>
        <v>12692.605208333332</v>
      </c>
      <c r="U11" s="4">
        <f t="shared" si="8"/>
        <v>15231.126249999998</v>
      </c>
      <c r="V11" s="4">
        <f t="shared" si="9"/>
        <v>17769.647291666664</v>
      </c>
      <c r="W11" s="4">
        <f t="shared" si="10"/>
        <v>20308.168333333331</v>
      </c>
      <c r="X11" s="4">
        <f t="shared" si="11"/>
        <v>22846.689374999998</v>
      </c>
      <c r="Y11" s="4">
        <f t="shared" si="12"/>
        <v>25385.210416666665</v>
      </c>
      <c r="Z11" s="4">
        <f t="shared" si="13"/>
        <v>27923.731458333332</v>
      </c>
      <c r="AA11" s="4">
        <f t="shared" si="14"/>
        <v>30462.252499999995</v>
      </c>
    </row>
    <row r="12" spans="1:27">
      <c r="A12" s="15" t="str">
        <f>'Cost Summary'!B27</f>
        <v>MTDC</v>
      </c>
      <c r="B12" s="9">
        <f>'Cost Summary'!C27</f>
        <v>30462.252499999999</v>
      </c>
      <c r="C12" s="9">
        <f>'Cost Summary'!D27</f>
        <v>0</v>
      </c>
      <c r="D12" s="9">
        <f>'Cost Summary'!E27</f>
        <v>0</v>
      </c>
      <c r="E12" s="9">
        <f>'Cost Summary'!F27</f>
        <v>0</v>
      </c>
      <c r="F12" s="9">
        <f>'Cost Summary'!G27</f>
        <v>0</v>
      </c>
      <c r="G12" s="9">
        <f>SUM(B12:F12)</f>
        <v>30462.252499999999</v>
      </c>
      <c r="I12" s="15" t="str">
        <f t="shared" si="2"/>
        <v>MTDC</v>
      </c>
      <c r="J12" s="9">
        <f t="shared" si="3"/>
        <v>2538.5210416666664</v>
      </c>
      <c r="K12" s="9">
        <f t="shared" si="1"/>
        <v>0</v>
      </c>
      <c r="L12" s="9">
        <f t="shared" si="1"/>
        <v>0</v>
      </c>
      <c r="M12" s="9">
        <f t="shared" si="1"/>
        <v>0</v>
      </c>
      <c r="N12" s="9">
        <f t="shared" si="1"/>
        <v>0</v>
      </c>
      <c r="O12" s="9">
        <f t="shared" si="1"/>
        <v>2538.5210416666664</v>
      </c>
      <c r="Q12" s="9">
        <f t="shared" si="4"/>
        <v>5077.0420833333328</v>
      </c>
      <c r="R12" s="9">
        <f t="shared" si="5"/>
        <v>7615.5631249999988</v>
      </c>
      <c r="S12" s="9">
        <f t="shared" si="6"/>
        <v>10154.084166666666</v>
      </c>
      <c r="T12" s="9">
        <f t="shared" si="7"/>
        <v>12692.605208333332</v>
      </c>
      <c r="U12" s="9">
        <f t="shared" si="8"/>
        <v>15231.126249999998</v>
      </c>
      <c r="V12" s="9">
        <f t="shared" si="9"/>
        <v>17769.647291666664</v>
      </c>
      <c r="W12" s="9">
        <f t="shared" si="10"/>
        <v>20308.168333333331</v>
      </c>
      <c r="X12" s="9">
        <f t="shared" si="11"/>
        <v>22846.689374999998</v>
      </c>
      <c r="Y12" s="9">
        <f t="shared" si="12"/>
        <v>25385.210416666665</v>
      </c>
      <c r="Z12" s="9">
        <f t="shared" si="13"/>
        <v>27923.731458333332</v>
      </c>
      <c r="AA12" s="9">
        <f t="shared" si="14"/>
        <v>30462.252499999995</v>
      </c>
    </row>
    <row r="13" spans="1:27" ht="12" thickBot="1">
      <c r="A13" s="16" t="str">
        <f>'Cost Summary'!B28</f>
        <v>Indirect Costs</v>
      </c>
      <c r="B13" s="22">
        <f>'Cost Summary'!C28</f>
        <v>14621.881199999998</v>
      </c>
      <c r="C13" s="22">
        <f>'Cost Summary'!D28</f>
        <v>0</v>
      </c>
      <c r="D13" s="22">
        <f>'Cost Summary'!E28</f>
        <v>0</v>
      </c>
      <c r="E13" s="22">
        <f>'Cost Summary'!F28</f>
        <v>0</v>
      </c>
      <c r="F13" s="22">
        <f>'Cost Summary'!G28</f>
        <v>0</v>
      </c>
      <c r="G13" s="22">
        <f>SUM(B13:F13)</f>
        <v>14621.881199999998</v>
      </c>
      <c r="I13" s="16" t="str">
        <f t="shared" si="2"/>
        <v>Indirect Costs</v>
      </c>
      <c r="J13" s="22">
        <f t="shared" si="3"/>
        <v>1218.4900999999998</v>
      </c>
      <c r="K13" s="22">
        <f t="shared" si="1"/>
        <v>0</v>
      </c>
      <c r="L13" s="22">
        <f t="shared" si="1"/>
        <v>0</v>
      </c>
      <c r="M13" s="22">
        <f t="shared" si="1"/>
        <v>0</v>
      </c>
      <c r="N13" s="22">
        <f t="shared" si="1"/>
        <v>0</v>
      </c>
      <c r="O13" s="22">
        <f t="shared" si="1"/>
        <v>1218.4900999999998</v>
      </c>
      <c r="Q13" s="22">
        <f t="shared" si="4"/>
        <v>2436.9801999999995</v>
      </c>
      <c r="R13" s="22">
        <f t="shared" si="5"/>
        <v>3655.470299999999</v>
      </c>
      <c r="S13" s="22">
        <f t="shared" si="6"/>
        <v>4873.960399999999</v>
      </c>
      <c r="T13" s="22">
        <f t="shared" si="7"/>
        <v>6092.450499999999</v>
      </c>
      <c r="U13" s="22">
        <f t="shared" si="8"/>
        <v>7310.9405999999981</v>
      </c>
      <c r="V13" s="22">
        <f t="shared" si="9"/>
        <v>8529.430699999999</v>
      </c>
      <c r="W13" s="22">
        <f t="shared" si="10"/>
        <v>9747.9207999999981</v>
      </c>
      <c r="X13" s="22">
        <f t="shared" si="11"/>
        <v>10966.410899999997</v>
      </c>
      <c r="Y13" s="22">
        <f t="shared" si="12"/>
        <v>12184.900999999998</v>
      </c>
      <c r="Z13" s="22">
        <f t="shared" si="13"/>
        <v>13403.391099999997</v>
      </c>
      <c r="AA13" s="22">
        <f t="shared" si="14"/>
        <v>14621.881199999996</v>
      </c>
    </row>
    <row r="14" spans="1:27" ht="12" thickBot="1">
      <c r="A14" s="18" t="str">
        <f>'Cost Summary'!B29</f>
        <v>Total Expense Charged to Agreement</v>
      </c>
      <c r="B14" s="19">
        <f>'Cost Summary'!C29</f>
        <v>45084.133699999998</v>
      </c>
      <c r="C14" s="19">
        <f>'Cost Summary'!D29</f>
        <v>0</v>
      </c>
      <c r="D14" s="19">
        <f>'Cost Summary'!E29</f>
        <v>0</v>
      </c>
      <c r="E14" s="19">
        <f>'Cost Summary'!F29</f>
        <v>0</v>
      </c>
      <c r="F14" s="19">
        <f>'Cost Summary'!G29</f>
        <v>0</v>
      </c>
      <c r="G14" s="19">
        <f>G11+G13</f>
        <v>45084.133699999998</v>
      </c>
      <c r="I14" s="18" t="str">
        <f t="shared" si="2"/>
        <v>Total Expense Charged to Agreement</v>
      </c>
      <c r="J14" s="19">
        <f t="shared" si="3"/>
        <v>3757.0111416666664</v>
      </c>
      <c r="K14" s="19">
        <f t="shared" si="1"/>
        <v>0</v>
      </c>
      <c r="L14" s="19">
        <f t="shared" si="1"/>
        <v>0</v>
      </c>
      <c r="M14" s="19">
        <f t="shared" si="1"/>
        <v>0</v>
      </c>
      <c r="N14" s="19">
        <f t="shared" si="1"/>
        <v>0</v>
      </c>
      <c r="O14" s="19">
        <f t="shared" si="1"/>
        <v>3757.0111416666664</v>
      </c>
      <c r="Q14" s="19">
        <f t="shared" si="4"/>
        <v>7514.0222833333328</v>
      </c>
      <c r="R14" s="19">
        <f t="shared" si="5"/>
        <v>11271.033425</v>
      </c>
      <c r="S14" s="19">
        <f t="shared" si="6"/>
        <v>15028.044566666666</v>
      </c>
      <c r="T14" s="19">
        <f t="shared" si="7"/>
        <v>18785.055708333333</v>
      </c>
      <c r="U14" s="19">
        <f t="shared" si="8"/>
        <v>22542.066849999999</v>
      </c>
      <c r="V14" s="19">
        <f t="shared" si="9"/>
        <v>26299.077991666665</v>
      </c>
      <c r="W14" s="19">
        <f t="shared" si="10"/>
        <v>30056.089133333331</v>
      </c>
      <c r="X14" s="19">
        <f t="shared" si="11"/>
        <v>33813.100274999997</v>
      </c>
      <c r="Y14" s="19">
        <f t="shared" si="12"/>
        <v>37570.111416666667</v>
      </c>
      <c r="Z14" s="19">
        <f t="shared" si="13"/>
        <v>41327.122558333329</v>
      </c>
      <c r="AA14" s="19">
        <f t="shared" si="14"/>
        <v>45084.133699999998</v>
      </c>
    </row>
    <row r="15" spans="1:27" ht="12" thickTop="1"/>
    <row r="16" spans="1:27" ht="12" thickBot="1">
      <c r="A16" s="189"/>
      <c r="B16" s="189"/>
      <c r="C16" s="189"/>
      <c r="D16" s="189"/>
      <c r="E16" s="189"/>
      <c r="F16" s="189"/>
      <c r="G16" s="189"/>
      <c r="I16" s="26"/>
      <c r="J16" s="26"/>
      <c r="K16" s="26"/>
      <c r="L16" s="26"/>
      <c r="M16" s="26"/>
      <c r="N16" s="26"/>
      <c r="O16" s="26"/>
      <c r="Q16" s="26"/>
      <c r="R16" s="26"/>
      <c r="S16" s="26"/>
      <c r="T16" s="26"/>
      <c r="U16" s="26"/>
      <c r="V16" s="26"/>
      <c r="W16" s="26"/>
      <c r="X16" s="26"/>
      <c r="Y16" s="26"/>
      <c r="Z16" s="26"/>
      <c r="AA16" s="26"/>
    </row>
    <row r="17" spans="1:27">
      <c r="A17" s="2" t="str">
        <f>'Cost Summary'!B36</f>
        <v>Category</v>
      </c>
      <c r="B17" s="21" t="s">
        <v>2</v>
      </c>
      <c r="C17" s="21" t="s">
        <v>3</v>
      </c>
      <c r="D17" s="21" t="s">
        <v>4</v>
      </c>
      <c r="E17" s="21" t="s">
        <v>5</v>
      </c>
      <c r="F17" s="21" t="s">
        <v>6</v>
      </c>
      <c r="G17" s="21" t="s">
        <v>7</v>
      </c>
      <c r="I17" s="15" t="s">
        <v>160</v>
      </c>
      <c r="J17" s="21" t="s">
        <v>2</v>
      </c>
      <c r="K17" s="21" t="s">
        <v>3</v>
      </c>
      <c r="L17" s="21" t="s">
        <v>4</v>
      </c>
      <c r="M17" s="21" t="s">
        <v>5</v>
      </c>
      <c r="N17" s="21" t="s">
        <v>6</v>
      </c>
      <c r="O17" s="21" t="s">
        <v>7</v>
      </c>
      <c r="Q17" s="21" t="s">
        <v>161</v>
      </c>
      <c r="R17" s="21" t="s">
        <v>162</v>
      </c>
      <c r="S17" s="21" t="s">
        <v>163</v>
      </c>
      <c r="T17" s="21" t="s">
        <v>164</v>
      </c>
      <c r="U17" s="21" t="s">
        <v>165</v>
      </c>
      <c r="V17" s="21" t="s">
        <v>166</v>
      </c>
      <c r="W17" s="21" t="s">
        <v>167</v>
      </c>
      <c r="X17" s="21" t="s">
        <v>168</v>
      </c>
      <c r="Y17" s="21" t="s">
        <v>169</v>
      </c>
      <c r="Z17" s="21" t="s">
        <v>170</v>
      </c>
      <c r="AA17" s="21" t="s">
        <v>171</v>
      </c>
    </row>
    <row r="18" spans="1:27">
      <c r="A18" s="1" t="str">
        <f>'Cost Summary'!B37</f>
        <v>Personnel</v>
      </c>
      <c r="B18" s="4">
        <f>'Cost Summary'!C37</f>
        <v>5671.7475000000013</v>
      </c>
      <c r="C18" s="4">
        <f>'Cost Summary'!D37</f>
        <v>0</v>
      </c>
      <c r="D18" s="4">
        <f>'Cost Summary'!E37</f>
        <v>0</v>
      </c>
      <c r="E18" s="4">
        <f>'Cost Summary'!F37</f>
        <v>0</v>
      </c>
      <c r="F18" s="4">
        <f>'Cost Summary'!G37</f>
        <v>0</v>
      </c>
      <c r="G18" s="4">
        <f>'Personnel Costs'!L31</f>
        <v>0</v>
      </c>
      <c r="I18" s="1" t="str">
        <f t="shared" si="2"/>
        <v>Personnel</v>
      </c>
      <c r="J18" s="4">
        <f>B18/12</f>
        <v>472.64562500000011</v>
      </c>
      <c r="K18" s="4">
        <f t="shared" ref="K18:O21" si="15">C18/12</f>
        <v>0</v>
      </c>
      <c r="L18" s="4">
        <f t="shared" si="15"/>
        <v>0</v>
      </c>
      <c r="M18" s="4">
        <f t="shared" si="15"/>
        <v>0</v>
      </c>
      <c r="N18" s="4">
        <f t="shared" si="15"/>
        <v>0</v>
      </c>
      <c r="O18" s="4">
        <f t="shared" si="15"/>
        <v>0</v>
      </c>
      <c r="Q18" s="4">
        <f t="shared" si="4"/>
        <v>945.29125000000022</v>
      </c>
      <c r="R18" s="4">
        <f t="shared" si="5"/>
        <v>1417.9368750000003</v>
      </c>
      <c r="S18" s="4">
        <f t="shared" si="6"/>
        <v>1890.5825000000004</v>
      </c>
      <c r="T18" s="4">
        <f t="shared" si="7"/>
        <v>2363.2281250000005</v>
      </c>
      <c r="U18" s="4">
        <f t="shared" si="8"/>
        <v>2835.8737500000007</v>
      </c>
      <c r="V18" s="4">
        <f t="shared" si="9"/>
        <v>3308.5193750000008</v>
      </c>
      <c r="W18" s="4">
        <f t="shared" si="10"/>
        <v>3781.1650000000009</v>
      </c>
      <c r="X18" s="4">
        <f t="shared" si="11"/>
        <v>4253.810625000001</v>
      </c>
      <c r="Y18" s="4">
        <f t="shared" si="12"/>
        <v>4726.4562500000011</v>
      </c>
      <c r="Z18" s="4">
        <f t="shared" si="13"/>
        <v>5199.1018750000012</v>
      </c>
      <c r="AA18" s="4">
        <f t="shared" si="14"/>
        <v>5671.7475000000013</v>
      </c>
    </row>
    <row r="19" spans="1:27">
      <c r="A19" s="1" t="str">
        <f>'Cost Summary'!B38</f>
        <v>Patient Care*</v>
      </c>
      <c r="B19" s="7">
        <f>'Cost Summary'!C38</f>
        <v>0</v>
      </c>
      <c r="C19" s="7">
        <f>'Cost Summary'!D38</f>
        <v>0</v>
      </c>
      <c r="D19" s="7">
        <f>'Cost Summary'!E38</f>
        <v>0</v>
      </c>
      <c r="E19" s="7">
        <f>'Cost Summary'!F38</f>
        <v>0</v>
      </c>
      <c r="F19" s="7">
        <f>'Cost Summary'!G38</f>
        <v>0</v>
      </c>
      <c r="G19" s="7">
        <f>'Patient Care Costs'!AB65</f>
        <v>0</v>
      </c>
      <c r="I19" s="1" t="str">
        <f t="shared" si="2"/>
        <v>Patient Care*</v>
      </c>
      <c r="J19" s="7">
        <f t="shared" ref="J19:J21" si="16">B19/12</f>
        <v>0</v>
      </c>
      <c r="K19" s="7">
        <f t="shared" si="15"/>
        <v>0</v>
      </c>
      <c r="L19" s="7">
        <f t="shared" si="15"/>
        <v>0</v>
      </c>
      <c r="M19" s="7">
        <f t="shared" si="15"/>
        <v>0</v>
      </c>
      <c r="N19" s="7">
        <f t="shared" si="15"/>
        <v>0</v>
      </c>
      <c r="O19" s="7">
        <f t="shared" si="15"/>
        <v>0</v>
      </c>
      <c r="Q19" s="7">
        <f t="shared" si="4"/>
        <v>0</v>
      </c>
      <c r="R19" s="7">
        <f t="shared" si="5"/>
        <v>0</v>
      </c>
      <c r="S19" s="7">
        <f t="shared" si="6"/>
        <v>0</v>
      </c>
      <c r="T19" s="7">
        <f t="shared" si="7"/>
        <v>0</v>
      </c>
      <c r="U19" s="7">
        <f t="shared" si="8"/>
        <v>0</v>
      </c>
      <c r="V19" s="7">
        <f t="shared" si="9"/>
        <v>0</v>
      </c>
      <c r="W19" s="7">
        <f t="shared" si="10"/>
        <v>0</v>
      </c>
      <c r="X19" s="7">
        <f t="shared" si="11"/>
        <v>0</v>
      </c>
      <c r="Y19" s="7">
        <f t="shared" si="12"/>
        <v>0</v>
      </c>
      <c r="Z19" s="7">
        <f t="shared" si="13"/>
        <v>0</v>
      </c>
      <c r="AA19" s="7">
        <f t="shared" si="14"/>
        <v>0</v>
      </c>
    </row>
    <row r="20" spans="1:27">
      <c r="A20" s="8" t="str">
        <f>'Cost Summary'!B39</f>
        <v>Other</v>
      </c>
      <c r="B20" s="9">
        <f>'Cost Summary'!C39</f>
        <v>0</v>
      </c>
      <c r="C20" s="9">
        <f>'Cost Summary'!D39</f>
        <v>0</v>
      </c>
      <c r="D20" s="9">
        <f>'Cost Summary'!E39</f>
        <v>0</v>
      </c>
      <c r="E20" s="9">
        <f>'Cost Summary'!F39</f>
        <v>0</v>
      </c>
      <c r="F20" s="9">
        <f>'Cost Summary'!G39</f>
        <v>0</v>
      </c>
      <c r="G20" s="9"/>
      <c r="I20" s="8" t="str">
        <f t="shared" si="2"/>
        <v>Other</v>
      </c>
      <c r="J20" s="9">
        <f t="shared" si="16"/>
        <v>0</v>
      </c>
      <c r="K20" s="9">
        <f t="shared" si="15"/>
        <v>0</v>
      </c>
      <c r="L20" s="9">
        <f t="shared" si="15"/>
        <v>0</v>
      </c>
      <c r="M20" s="9">
        <f t="shared" si="15"/>
        <v>0</v>
      </c>
      <c r="N20" s="9">
        <f t="shared" si="15"/>
        <v>0</v>
      </c>
      <c r="O20" s="9">
        <f t="shared" si="15"/>
        <v>0</v>
      </c>
      <c r="Q20" s="9">
        <f t="shared" si="4"/>
        <v>0</v>
      </c>
      <c r="R20" s="9">
        <f t="shared" si="5"/>
        <v>0</v>
      </c>
      <c r="S20" s="9">
        <f t="shared" si="6"/>
        <v>0</v>
      </c>
      <c r="T20" s="9">
        <f t="shared" si="7"/>
        <v>0</v>
      </c>
      <c r="U20" s="9">
        <f t="shared" si="8"/>
        <v>0</v>
      </c>
      <c r="V20" s="9">
        <f t="shared" si="9"/>
        <v>0</v>
      </c>
      <c r="W20" s="9">
        <f t="shared" si="10"/>
        <v>0</v>
      </c>
      <c r="X20" s="9">
        <f t="shared" si="11"/>
        <v>0</v>
      </c>
      <c r="Y20" s="9">
        <f t="shared" si="12"/>
        <v>0</v>
      </c>
      <c r="Z20" s="9">
        <f t="shared" si="13"/>
        <v>0</v>
      </c>
      <c r="AA20" s="9">
        <f t="shared" si="14"/>
        <v>0</v>
      </c>
    </row>
    <row r="21" spans="1:27" ht="12" thickBot="1">
      <c r="A21" s="16" t="str">
        <f>'Cost Summary'!B40</f>
        <v>Total Institutional Support</v>
      </c>
      <c r="B21" s="22">
        <f>'Cost Summary'!C40</f>
        <v>5671.7475000000013</v>
      </c>
      <c r="C21" s="22">
        <f>'Cost Summary'!D40</f>
        <v>0</v>
      </c>
      <c r="D21" s="22">
        <f>'Cost Summary'!E40</f>
        <v>0</v>
      </c>
      <c r="E21" s="22">
        <f>'Cost Summary'!F40</f>
        <v>0</v>
      </c>
      <c r="F21" s="22">
        <f>'Cost Summary'!G40</f>
        <v>0</v>
      </c>
      <c r="G21" s="22">
        <f>SUM(G18:G20)</f>
        <v>0</v>
      </c>
      <c r="I21" s="16" t="str">
        <f t="shared" si="2"/>
        <v>Total Institutional Support</v>
      </c>
      <c r="J21" s="22">
        <f t="shared" si="16"/>
        <v>472.64562500000011</v>
      </c>
      <c r="K21" s="22">
        <f t="shared" si="15"/>
        <v>0</v>
      </c>
      <c r="L21" s="22">
        <f t="shared" si="15"/>
        <v>0</v>
      </c>
      <c r="M21" s="22">
        <f t="shared" si="15"/>
        <v>0</v>
      </c>
      <c r="N21" s="22">
        <f t="shared" si="15"/>
        <v>0</v>
      </c>
      <c r="O21" s="22">
        <f t="shared" si="15"/>
        <v>0</v>
      </c>
      <c r="Q21" s="22">
        <f t="shared" si="4"/>
        <v>945.29125000000022</v>
      </c>
      <c r="R21" s="22">
        <f t="shared" si="5"/>
        <v>1417.9368750000003</v>
      </c>
      <c r="S21" s="22">
        <f t="shared" si="6"/>
        <v>1890.5825000000004</v>
      </c>
      <c r="T21" s="22">
        <f t="shared" si="7"/>
        <v>2363.2281250000005</v>
      </c>
      <c r="U21" s="22">
        <f t="shared" si="8"/>
        <v>2835.8737500000007</v>
      </c>
      <c r="V21" s="22">
        <f t="shared" si="9"/>
        <v>3308.5193750000008</v>
      </c>
      <c r="W21" s="22">
        <f t="shared" si="10"/>
        <v>3781.1650000000009</v>
      </c>
      <c r="X21" s="22">
        <f t="shared" si="11"/>
        <v>4253.810625000001</v>
      </c>
      <c r="Y21" s="22">
        <f t="shared" si="12"/>
        <v>4726.4562500000011</v>
      </c>
      <c r="Z21" s="22">
        <f t="shared" si="13"/>
        <v>5199.1018750000012</v>
      </c>
      <c r="AA21" s="22">
        <f t="shared" si="14"/>
        <v>5671.7475000000013</v>
      </c>
    </row>
    <row r="22" spans="1:27" ht="12" thickBot="1">
      <c r="I22" s="27"/>
      <c r="J22" s="27"/>
      <c r="K22" s="27"/>
      <c r="L22" s="27"/>
      <c r="M22" s="27"/>
      <c r="N22" s="27"/>
      <c r="O22" s="27"/>
      <c r="Q22" s="27"/>
      <c r="R22" s="27"/>
      <c r="S22" s="27"/>
      <c r="T22" s="27"/>
      <c r="U22" s="27"/>
      <c r="V22" s="27"/>
      <c r="W22" s="27"/>
      <c r="X22" s="27"/>
      <c r="Y22" s="27"/>
      <c r="Z22" s="27"/>
      <c r="AA22" s="27"/>
    </row>
    <row r="23" spans="1:27">
      <c r="A23" s="198" t="str">
        <f>'Cost Summary'!B59</f>
        <v>*Cost share for patient care may be impacted by enrollment and thus, unevenly split.</v>
      </c>
      <c r="B23" s="198"/>
      <c r="C23" s="198"/>
      <c r="D23" s="198"/>
      <c r="E23" s="198"/>
      <c r="F23" s="198"/>
      <c r="G23" s="198"/>
      <c r="I23" s="15" t="s">
        <v>160</v>
      </c>
      <c r="J23" s="21" t="s">
        <v>2</v>
      </c>
      <c r="K23" s="21" t="s">
        <v>3</v>
      </c>
      <c r="L23" s="21" t="s">
        <v>4</v>
      </c>
      <c r="M23" s="21" t="s">
        <v>5</v>
      </c>
      <c r="N23" s="21" t="s">
        <v>6</v>
      </c>
      <c r="O23" s="21" t="s">
        <v>7</v>
      </c>
      <c r="Q23" s="21" t="s">
        <v>161</v>
      </c>
      <c r="R23" s="21" t="s">
        <v>162</v>
      </c>
      <c r="S23" s="21" t="s">
        <v>163</v>
      </c>
      <c r="T23" s="21" t="s">
        <v>164</v>
      </c>
      <c r="U23" s="21" t="s">
        <v>165</v>
      </c>
      <c r="V23" s="21" t="s">
        <v>166</v>
      </c>
      <c r="W23" s="21" t="s">
        <v>167</v>
      </c>
      <c r="X23" s="21" t="s">
        <v>168</v>
      </c>
      <c r="Y23" s="21" t="s">
        <v>169</v>
      </c>
      <c r="Z23" s="21" t="s">
        <v>170</v>
      </c>
      <c r="AA23" s="21" t="s">
        <v>171</v>
      </c>
    </row>
    <row r="24" spans="1:27">
      <c r="I24" s="1" t="s">
        <v>172</v>
      </c>
      <c r="J24" s="4">
        <f>J2-J25</f>
        <v>1801.0806790624997</v>
      </c>
      <c r="K24" s="4">
        <f t="shared" ref="K24:N24" si="17">K2-K25</f>
        <v>0</v>
      </c>
      <c r="L24" s="4">
        <f t="shared" si="17"/>
        <v>0</v>
      </c>
      <c r="M24" s="4">
        <f t="shared" si="17"/>
        <v>0</v>
      </c>
      <c r="N24" s="4">
        <f t="shared" si="17"/>
        <v>0</v>
      </c>
      <c r="O24" s="4">
        <f>SUM(J24:N24)</f>
        <v>1801.0806790624997</v>
      </c>
      <c r="Q24" s="4">
        <f t="shared" si="4"/>
        <v>3602.1613581249994</v>
      </c>
      <c r="R24" s="4">
        <f t="shared" si="5"/>
        <v>5403.2420371874996</v>
      </c>
      <c r="S24" s="4">
        <f t="shared" si="6"/>
        <v>7204.3227162499988</v>
      </c>
      <c r="T24" s="4">
        <f t="shared" si="7"/>
        <v>9005.4033953124981</v>
      </c>
      <c r="U24" s="4">
        <f t="shared" si="8"/>
        <v>10806.484074374999</v>
      </c>
      <c r="V24" s="4">
        <f t="shared" si="9"/>
        <v>12607.564753437498</v>
      </c>
      <c r="W24" s="4">
        <f t="shared" si="10"/>
        <v>14408.645432499998</v>
      </c>
      <c r="X24" s="4">
        <f t="shared" si="11"/>
        <v>16209.726111562497</v>
      </c>
      <c r="Y24" s="4">
        <f t="shared" si="12"/>
        <v>18010.806790624996</v>
      </c>
      <c r="Z24" s="4">
        <f t="shared" si="13"/>
        <v>19811.887469687495</v>
      </c>
      <c r="AA24" s="4">
        <f t="shared" si="14"/>
        <v>21612.968148749998</v>
      </c>
    </row>
    <row r="25" spans="1:27">
      <c r="I25" s="8" t="s">
        <v>173</v>
      </c>
      <c r="J25" s="9">
        <f>J2*'Personnel Costs'!$W$2</f>
        <v>737.44036260416658</v>
      </c>
      <c r="K25" s="9">
        <f>K2*'Personnel Costs'!$W$2</f>
        <v>0</v>
      </c>
      <c r="L25" s="9">
        <f>L2*'Personnel Costs'!$W$2</f>
        <v>0</v>
      </c>
      <c r="M25" s="9">
        <f>M2*'Personnel Costs'!$W$2</f>
        <v>0</v>
      </c>
      <c r="N25" s="9">
        <f>N2*'Personnel Costs'!$W$2</f>
        <v>0</v>
      </c>
      <c r="O25" s="9">
        <f>SUM(J25:N25)</f>
        <v>737.44036260416658</v>
      </c>
      <c r="Q25" s="9">
        <f>J25*2</f>
        <v>1474.8807252083332</v>
      </c>
      <c r="R25" s="9">
        <f t="shared" si="5"/>
        <v>2212.3210878124996</v>
      </c>
      <c r="S25" s="9">
        <f t="shared" si="6"/>
        <v>2949.7614504166663</v>
      </c>
      <c r="T25" s="9">
        <f t="shared" si="7"/>
        <v>3687.201813020833</v>
      </c>
      <c r="U25" s="9">
        <f t="shared" si="8"/>
        <v>4424.6421756249993</v>
      </c>
      <c r="V25" s="9">
        <f t="shared" si="9"/>
        <v>5162.0825382291659</v>
      </c>
      <c r="W25" s="9">
        <f t="shared" si="10"/>
        <v>5899.5229008333326</v>
      </c>
      <c r="X25" s="9">
        <f t="shared" si="11"/>
        <v>6636.9632634374993</v>
      </c>
      <c r="Y25" s="9">
        <f t="shared" si="12"/>
        <v>7374.403626041666</v>
      </c>
      <c r="Z25" s="9">
        <f t="shared" si="13"/>
        <v>8111.8439886458327</v>
      </c>
      <c r="AA25" s="9">
        <f t="shared" si="14"/>
        <v>8849.2843512499985</v>
      </c>
    </row>
    <row r="26" spans="1:27" ht="12" thickBot="1">
      <c r="O26" s="28">
        <f>SUM(O24:O25)</f>
        <v>2538.5210416666664</v>
      </c>
    </row>
  </sheetData>
  <mergeCells count="2">
    <mergeCell ref="A16:G16"/>
    <mergeCell ref="A23:G2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51928-FC65-46CC-8C81-10541C4F78A7}">
  <dimension ref="B1:G27"/>
  <sheetViews>
    <sheetView workbookViewId="0">
      <selection activeCell="D3" sqref="D3"/>
    </sheetView>
  </sheetViews>
  <sheetFormatPr defaultRowHeight="14.45"/>
  <cols>
    <col min="2" max="2" width="37.140625" bestFit="1" customWidth="1"/>
    <col min="4" max="4" width="47.85546875" customWidth="1"/>
    <col min="5" max="5" width="11" style="142" customWidth="1"/>
    <col min="6" max="6" width="18.7109375" customWidth="1"/>
    <col min="7" max="7" width="71" style="144" customWidth="1"/>
  </cols>
  <sheetData>
    <row r="1" spans="2:7">
      <c r="E1" s="141" t="s">
        <v>174</v>
      </c>
      <c r="F1" s="140" t="s">
        <v>175</v>
      </c>
      <c r="G1" s="143" t="s">
        <v>176</v>
      </c>
    </row>
    <row r="2" spans="2:7">
      <c r="B2" t="s">
        <v>177</v>
      </c>
      <c r="D2" t="s">
        <v>178</v>
      </c>
    </row>
    <row r="3" spans="2:7" ht="30.75">
      <c r="B3" t="s">
        <v>44</v>
      </c>
      <c r="D3" s="147" t="s">
        <v>179</v>
      </c>
      <c r="E3" s="142" t="s">
        <v>180</v>
      </c>
      <c r="G3" s="145" t="s">
        <v>181</v>
      </c>
    </row>
    <row r="4" spans="2:7" ht="30.75">
      <c r="B4" t="s">
        <v>45</v>
      </c>
      <c r="D4" s="139" t="s">
        <v>182</v>
      </c>
      <c r="E4" s="142" t="s">
        <v>180</v>
      </c>
      <c r="F4" s="142" t="s">
        <v>183</v>
      </c>
      <c r="G4" s="145" t="s">
        <v>184</v>
      </c>
    </row>
    <row r="5" spans="2:7">
      <c r="B5" t="s">
        <v>46</v>
      </c>
      <c r="D5" t="s">
        <v>185</v>
      </c>
      <c r="E5" s="142" t="s">
        <v>180</v>
      </c>
      <c r="G5" s="145" t="s">
        <v>186</v>
      </c>
    </row>
    <row r="6" spans="2:7" ht="86.45">
      <c r="B6" t="s">
        <v>47</v>
      </c>
      <c r="D6" t="s">
        <v>187</v>
      </c>
      <c r="E6" s="142" t="s">
        <v>188</v>
      </c>
      <c r="G6" s="145" t="s">
        <v>189</v>
      </c>
    </row>
    <row r="7" spans="2:7" ht="129.6">
      <c r="B7" t="s">
        <v>48</v>
      </c>
      <c r="D7" t="s">
        <v>190</v>
      </c>
      <c r="E7" s="142" t="s">
        <v>188</v>
      </c>
      <c r="G7" s="145" t="s">
        <v>191</v>
      </c>
    </row>
    <row r="8" spans="2:7" ht="28.9">
      <c r="D8" t="s">
        <v>192</v>
      </c>
      <c r="E8" s="142" t="s">
        <v>193</v>
      </c>
      <c r="G8" s="145" t="s">
        <v>194</v>
      </c>
    </row>
    <row r="9" spans="2:7">
      <c r="D9" t="s">
        <v>195</v>
      </c>
      <c r="E9" s="142" t="s">
        <v>180</v>
      </c>
      <c r="G9" s="146" t="s">
        <v>196</v>
      </c>
    </row>
    <row r="10" spans="2:7" ht="43.15">
      <c r="D10" t="s">
        <v>197</v>
      </c>
      <c r="E10" s="142" t="s">
        <v>198</v>
      </c>
      <c r="G10" s="145" t="s">
        <v>199</v>
      </c>
    </row>
    <row r="11" spans="2:7" ht="15">
      <c r="D11" s="147" t="s">
        <v>200</v>
      </c>
      <c r="E11" s="142" t="s">
        <v>180</v>
      </c>
      <c r="G11" s="145" t="s">
        <v>201</v>
      </c>
    </row>
    <row r="12" spans="2:7">
      <c r="D12" t="s">
        <v>202</v>
      </c>
      <c r="E12" s="142" t="s">
        <v>188</v>
      </c>
      <c r="G12" s="145" t="s">
        <v>203</v>
      </c>
    </row>
    <row r="13" spans="2:7" ht="103.15" customHeight="1">
      <c r="D13" t="s">
        <v>204</v>
      </c>
      <c r="E13" s="142" t="s">
        <v>205</v>
      </c>
      <c r="G13" s="145" t="s">
        <v>206</v>
      </c>
    </row>
    <row r="14" spans="2:7" ht="57.6">
      <c r="D14" t="s">
        <v>207</v>
      </c>
      <c r="E14" s="142" t="s">
        <v>208</v>
      </c>
      <c r="G14" s="145" t="s">
        <v>209</v>
      </c>
    </row>
    <row r="15" spans="2:7" ht="43.15">
      <c r="D15" t="s">
        <v>210</v>
      </c>
      <c r="E15" s="142" t="s">
        <v>180</v>
      </c>
      <c r="G15" s="145" t="s">
        <v>211</v>
      </c>
    </row>
    <row r="16" spans="2:7" ht="43.15">
      <c r="D16" t="s">
        <v>212</v>
      </c>
      <c r="E16" s="142" t="s">
        <v>180</v>
      </c>
      <c r="G16" s="145" t="s">
        <v>213</v>
      </c>
    </row>
    <row r="17" spans="2:7" ht="86.45">
      <c r="D17" t="s">
        <v>214</v>
      </c>
      <c r="E17" s="142" t="s">
        <v>205</v>
      </c>
      <c r="G17" s="145" t="s">
        <v>215</v>
      </c>
    </row>
    <row r="18" spans="2:7" ht="86.45">
      <c r="D18" t="s">
        <v>216</v>
      </c>
      <c r="E18" s="142" t="s">
        <v>217</v>
      </c>
      <c r="G18" s="145" t="s">
        <v>218</v>
      </c>
    </row>
    <row r="19" spans="2:7" ht="57.6">
      <c r="B19" t="s">
        <v>219</v>
      </c>
      <c r="D19" t="s">
        <v>220</v>
      </c>
      <c r="E19" s="142" t="s">
        <v>180</v>
      </c>
      <c r="G19" s="145" t="s">
        <v>221</v>
      </c>
    </row>
    <row r="20" spans="2:7" ht="28.9">
      <c r="B20" t="s">
        <v>222</v>
      </c>
      <c r="D20" t="s">
        <v>223</v>
      </c>
      <c r="E20" s="142" t="s">
        <v>180</v>
      </c>
      <c r="G20" s="145" t="s">
        <v>224</v>
      </c>
    </row>
    <row r="21" spans="2:7">
      <c r="B21" t="s">
        <v>225</v>
      </c>
      <c r="D21" t="s">
        <v>226</v>
      </c>
      <c r="E21" s="142" t="s">
        <v>227</v>
      </c>
      <c r="G21" s="145" t="s">
        <v>228</v>
      </c>
    </row>
    <row r="22" spans="2:7" ht="43.15">
      <c r="B22" t="s">
        <v>229</v>
      </c>
      <c r="D22" s="138" t="s">
        <v>230</v>
      </c>
      <c r="E22" s="142" t="s">
        <v>180</v>
      </c>
      <c r="G22" s="145" t="s">
        <v>231</v>
      </c>
    </row>
    <row r="23" spans="2:7">
      <c r="B23" t="s">
        <v>232</v>
      </c>
    </row>
    <row r="24" spans="2:7">
      <c r="B24" t="s">
        <v>233</v>
      </c>
    </row>
    <row r="25" spans="2:7">
      <c r="B25" t="s">
        <v>234</v>
      </c>
    </row>
    <row r="26" spans="2:7">
      <c r="B26" t="s">
        <v>235</v>
      </c>
    </row>
    <row r="27" spans="2:7">
      <c r="B27" t="s">
        <v>236</v>
      </c>
    </row>
  </sheetData>
  <pageMargins left="0.7" right="0.7" top="0.75" bottom="0.75" header="0.3" footer="0.3"/>
  <pageSetup orientation="portrait"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60CC25AB16AFB4A9184C9E71612428A" ma:contentTypeVersion="20" ma:contentTypeDescription="Create a new document." ma:contentTypeScope="" ma:versionID="c26855d3bd301a8b4b8e2acea713617a">
  <xsd:schema xmlns:xsd="http://www.w3.org/2001/XMLSchema" xmlns:xs="http://www.w3.org/2001/XMLSchema" xmlns:p="http://schemas.microsoft.com/office/2006/metadata/properties" xmlns:ns2="a680faa0-ff61-460c-ae58-e3c6736fa866" xmlns:ns3="e3cee36f-b74c-4640-a932-9cbc8d27a3e8" targetNamespace="http://schemas.microsoft.com/office/2006/metadata/properties" ma:root="true" ma:fieldsID="fb1c870a76427ac0de15e567ad92b12e" ns2:_="" ns3:_="">
    <xsd:import namespace="a680faa0-ff61-460c-ae58-e3c6736fa866"/>
    <xsd:import namespace="e3cee36f-b74c-4640-a932-9cbc8d27a3e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Template" minOccurs="0"/>
                <xsd:element ref="ns2:MediaServiceDateTaken" minOccurs="0"/>
                <xsd:element ref="ns2:MediaServiceLocation" minOccurs="0"/>
                <xsd:element ref="ns2:Descrip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80faa0-ff61-460c-ae58-e3c6736fa8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Template" ma:index="18" nillable="true" ma:displayName="Template" ma:default="1" ma:format="Dropdown" ma:internalName="Template">
      <xsd:simpleType>
        <xsd:restriction base="dms:Boolea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Description" ma:index="21" nillable="true" ma:displayName="Description" ma:description="Brief description of folder contents" ma:format="Dropdown" ma:internalName="Description">
      <xsd:simpleType>
        <xsd:restriction base="dms:Text">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b1763edf-6d4b-46f5-bf11-d5da9005573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cee36f-b74c-4640-a932-9cbc8d27a3e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cca706a-672a-4803-83d3-6b4af5c41237}" ma:internalName="TaxCatchAll" ma:showField="CatchAllData" ma:web="e3cee36f-b74c-4640-a932-9cbc8d27a3e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emplate xmlns="a680faa0-ff61-460c-ae58-e3c6736fa866">true</Template>
    <Description xmlns="a680faa0-ff61-460c-ae58-e3c6736fa866" xsi:nil="true"/>
    <lcf76f155ced4ddcb4097134ff3c332f xmlns="a680faa0-ff61-460c-ae58-e3c6736fa866">
      <Terms xmlns="http://schemas.microsoft.com/office/infopath/2007/PartnerControls"/>
    </lcf76f155ced4ddcb4097134ff3c332f>
    <TaxCatchAll xmlns="e3cee36f-b74c-4640-a932-9cbc8d27a3e8" xsi:nil="true"/>
    <SharedWithUsers xmlns="e3cee36f-b74c-4640-a932-9cbc8d27a3e8">
      <UserInfo>
        <DisplayName>Jennifer Carpenter</DisplayName>
        <AccountId>14</AccountId>
        <AccountType/>
      </UserInfo>
      <UserInfo>
        <DisplayName>Kyle Eidem</DisplayName>
        <AccountId>44</AccountId>
        <AccountType/>
      </UserInfo>
    </SharedWithUsers>
  </documentManagement>
</p:properties>
</file>

<file path=customXml/itemProps1.xml><?xml version="1.0" encoding="utf-8"?>
<ds:datastoreItem xmlns:ds="http://schemas.openxmlformats.org/officeDocument/2006/customXml" ds:itemID="{B9354748-15A4-41E6-B5B0-4B4DFD1CB562}"/>
</file>

<file path=customXml/itemProps2.xml><?xml version="1.0" encoding="utf-8"?>
<ds:datastoreItem xmlns:ds="http://schemas.openxmlformats.org/officeDocument/2006/customXml" ds:itemID="{99FCB308-9794-4F2E-973F-11036083E16D}"/>
</file>

<file path=customXml/itemProps3.xml><?xml version="1.0" encoding="utf-8"?>
<ds:datastoreItem xmlns:ds="http://schemas.openxmlformats.org/officeDocument/2006/customXml" ds:itemID="{5D19D24B-AB10-4EE8-B85F-7CF0C85417FF}"/>
</file>

<file path=docProps/app.xml><?xml version="1.0" encoding="utf-8"?>
<Properties xmlns="http://schemas.openxmlformats.org/officeDocument/2006/extended-properties" xmlns:vt="http://schemas.openxmlformats.org/officeDocument/2006/docPropsVTypes">
  <Application>Microsoft Excel Online</Application>
  <Manager/>
  <Company>Gillette Children's Specialty Healthcare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Tammy L Jobes</dc:creator>
  <cp:keywords/>
  <dc:description/>
  <cp:lastModifiedBy>Tammy Jobes</cp:lastModifiedBy>
  <cp:revision/>
  <dcterms:created xsi:type="dcterms:W3CDTF">2019-05-15T12:43:44Z</dcterms:created>
  <dcterms:modified xsi:type="dcterms:W3CDTF">2023-09-13T17:23:20Z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0x010100C60CC25AB16AFB4A9184C9E71612428A</vt:lpwstr>
  </property>
  <property fmtid="{D5CDD505-2E9C-101B-9397-08002B2CF9AE}" pid="3" name="MediaServiceImageTags">
    <vt:lpwstr/>
  </property>
</Properties>
</file>