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7795" windowHeight="12330"/>
  </bookViews>
  <sheets>
    <sheet name="by Project" sheetId="1" r:id="rId1"/>
    <sheet name="by Month" sheetId="2" r:id="rId2"/>
  </sheets>
  <externalReferences>
    <externalReference r:id="rId3"/>
  </externalReferences>
  <definedNames>
    <definedName name="_xlnm.Print_Area" localSheetId="0">'by Project'!$A$1:$J$67</definedName>
  </definedNames>
  <calcPr calcId="145621"/>
</workbook>
</file>

<file path=xl/calcChain.xml><?xml version="1.0" encoding="utf-8"?>
<calcChain xmlns="http://schemas.openxmlformats.org/spreadsheetml/2006/main">
  <c r="N52" i="2" l="1"/>
  <c r="M52" i="2"/>
  <c r="L52" i="2"/>
  <c r="K52" i="2"/>
  <c r="J52" i="2"/>
  <c r="I52" i="2"/>
  <c r="H52" i="2"/>
  <c r="G52" i="2"/>
  <c r="F52" i="2"/>
  <c r="E52" i="2"/>
  <c r="D52" i="2"/>
  <c r="C52" i="2"/>
  <c r="O52" i="2" s="1"/>
  <c r="O50" i="2"/>
  <c r="O48" i="2"/>
  <c r="N46" i="2"/>
  <c r="M46" i="2"/>
  <c r="L46" i="2"/>
  <c r="K46" i="2"/>
  <c r="J46" i="2"/>
  <c r="I46" i="2"/>
  <c r="H46" i="2"/>
  <c r="G46" i="2"/>
  <c r="F46" i="2"/>
  <c r="E46" i="2"/>
  <c r="D46" i="2"/>
  <c r="C46" i="2"/>
  <c r="O46" i="2" s="1"/>
  <c r="O44" i="2"/>
  <c r="N42" i="2"/>
  <c r="M42" i="2"/>
  <c r="M53" i="2" s="1"/>
  <c r="L42" i="2"/>
  <c r="K42" i="2"/>
  <c r="K53" i="2" s="1"/>
  <c r="J42" i="2"/>
  <c r="I42" i="2"/>
  <c r="I53" i="2" s="1"/>
  <c r="H42" i="2"/>
  <c r="G42" i="2"/>
  <c r="G53" i="2" s="1"/>
  <c r="F42" i="2"/>
  <c r="E42" i="2"/>
  <c r="E53" i="2" s="1"/>
  <c r="D42" i="2"/>
  <c r="C42" i="2"/>
  <c r="C53" i="2" s="1"/>
  <c r="N40" i="2"/>
  <c r="N53" i="2" s="1"/>
  <c r="M40" i="2"/>
  <c r="L40" i="2"/>
  <c r="L53" i="2" s="1"/>
  <c r="K40" i="2"/>
  <c r="J40" i="2"/>
  <c r="J53" i="2" s="1"/>
  <c r="I40" i="2"/>
  <c r="H40" i="2"/>
  <c r="H53" i="2" s="1"/>
  <c r="G40" i="2"/>
  <c r="F40" i="2"/>
  <c r="F53" i="2" s="1"/>
  <c r="E40" i="2"/>
  <c r="D40" i="2"/>
  <c r="D53" i="2" s="1"/>
  <c r="C40" i="2"/>
  <c r="O40" i="2" s="1"/>
  <c r="N35" i="2"/>
  <c r="M35" i="2"/>
  <c r="L35" i="2"/>
  <c r="K35" i="2"/>
  <c r="J35" i="2"/>
  <c r="I35" i="2"/>
  <c r="H35" i="2"/>
  <c r="G35" i="2"/>
  <c r="F35" i="2"/>
  <c r="E35" i="2"/>
  <c r="D35" i="2"/>
  <c r="C35" i="2"/>
  <c r="O35" i="2" s="1"/>
  <c r="O33" i="2"/>
  <c r="O31" i="2"/>
  <c r="N29" i="2"/>
  <c r="M29" i="2"/>
  <c r="L29" i="2"/>
  <c r="K29" i="2"/>
  <c r="J29" i="2"/>
  <c r="I29" i="2"/>
  <c r="H29" i="2"/>
  <c r="G29" i="2"/>
  <c r="F29" i="2"/>
  <c r="E29" i="2"/>
  <c r="D29" i="2"/>
  <c r="C29" i="2"/>
  <c r="O29" i="2" s="1"/>
  <c r="O27" i="2"/>
  <c r="N25" i="2"/>
  <c r="M25" i="2"/>
  <c r="M36" i="2" s="1"/>
  <c r="L25" i="2"/>
  <c r="K25" i="2"/>
  <c r="K36" i="2" s="1"/>
  <c r="J25" i="2"/>
  <c r="I25" i="2"/>
  <c r="I36" i="2" s="1"/>
  <c r="H25" i="2"/>
  <c r="G25" i="2"/>
  <c r="G36" i="2" s="1"/>
  <c r="F25" i="2"/>
  <c r="E25" i="2"/>
  <c r="E36" i="2" s="1"/>
  <c r="D25" i="2"/>
  <c r="C25" i="2"/>
  <c r="C36" i="2" s="1"/>
  <c r="N23" i="2"/>
  <c r="N36" i="2" s="1"/>
  <c r="M23" i="2"/>
  <c r="L23" i="2"/>
  <c r="L36" i="2" s="1"/>
  <c r="K23" i="2"/>
  <c r="J23" i="2"/>
  <c r="J36" i="2" s="1"/>
  <c r="I23" i="2"/>
  <c r="H23" i="2"/>
  <c r="H36" i="2" s="1"/>
  <c r="G23" i="2"/>
  <c r="F23" i="2"/>
  <c r="F36" i="2" s="1"/>
  <c r="E23" i="2"/>
  <c r="D23" i="2"/>
  <c r="D36" i="2" s="1"/>
  <c r="C23" i="2"/>
  <c r="O23" i="2" s="1"/>
  <c r="N18" i="2"/>
  <c r="M18" i="2"/>
  <c r="L18" i="2"/>
  <c r="K18" i="2"/>
  <c r="J18" i="2"/>
  <c r="I18" i="2"/>
  <c r="H18" i="2"/>
  <c r="G18" i="2"/>
  <c r="F18" i="2"/>
  <c r="E18" i="2"/>
  <c r="D18" i="2"/>
  <c r="C18" i="2"/>
  <c r="O18" i="2" s="1"/>
  <c r="O16" i="2"/>
  <c r="O14" i="2"/>
  <c r="N12" i="2"/>
  <c r="M12" i="2"/>
  <c r="L12" i="2"/>
  <c r="K12" i="2"/>
  <c r="J12" i="2"/>
  <c r="I12" i="2"/>
  <c r="H12" i="2"/>
  <c r="G12" i="2"/>
  <c r="F12" i="2"/>
  <c r="E12" i="2"/>
  <c r="D12" i="2"/>
  <c r="C12" i="2"/>
  <c r="O12" i="2" s="1"/>
  <c r="O10" i="2"/>
  <c r="N8" i="2"/>
  <c r="M8" i="2"/>
  <c r="M19" i="2" s="1"/>
  <c r="L8" i="2"/>
  <c r="K8" i="2"/>
  <c r="K19" i="2" s="1"/>
  <c r="J8" i="2"/>
  <c r="I8" i="2"/>
  <c r="I19" i="2" s="1"/>
  <c r="H8" i="2"/>
  <c r="G8" i="2"/>
  <c r="G19" i="2" s="1"/>
  <c r="F8" i="2"/>
  <c r="E8" i="2"/>
  <c r="E19" i="2" s="1"/>
  <c r="D8" i="2"/>
  <c r="C8" i="2"/>
  <c r="C19" i="2" s="1"/>
  <c r="N6" i="2"/>
  <c r="N19" i="2" s="1"/>
  <c r="M6" i="2"/>
  <c r="L6" i="2"/>
  <c r="L19" i="2" s="1"/>
  <c r="K6" i="2"/>
  <c r="J6" i="2"/>
  <c r="J19" i="2" s="1"/>
  <c r="I6" i="2"/>
  <c r="H6" i="2"/>
  <c r="H19" i="2" s="1"/>
  <c r="G6" i="2"/>
  <c r="F6" i="2"/>
  <c r="F19" i="2" s="1"/>
  <c r="E6" i="2"/>
  <c r="D6" i="2"/>
  <c r="D19" i="2" s="1"/>
  <c r="C6" i="2"/>
  <c r="O6" i="2" s="1"/>
  <c r="D67" i="1"/>
  <c r="J63" i="1"/>
  <c r="H58" i="1"/>
  <c r="F57" i="1"/>
  <c r="F66" i="1" s="1"/>
  <c r="D57" i="1"/>
  <c r="H66" i="1" s="1"/>
  <c r="D56" i="1"/>
  <c r="H65" i="1" s="1"/>
  <c r="F55" i="1"/>
  <c r="F64" i="1" s="1"/>
  <c r="D55" i="1"/>
  <c r="H64" i="1" s="1"/>
  <c r="J54" i="1"/>
  <c r="D53" i="1"/>
  <c r="F49" i="1"/>
  <c r="F48" i="1"/>
  <c r="H47" i="1"/>
  <c r="F47" i="1"/>
  <c r="J47" i="1" s="1"/>
  <c r="D47" i="1"/>
  <c r="H46" i="1"/>
  <c r="F46" i="1"/>
  <c r="J46" i="1" s="1"/>
  <c r="D46" i="1"/>
  <c r="H45" i="1"/>
  <c r="F45" i="1" s="1"/>
  <c r="J45" i="1" s="1"/>
  <c r="D45" i="1"/>
  <c r="C45" i="1"/>
  <c r="E45" i="1" s="1"/>
  <c r="G45" i="1" s="1"/>
  <c r="H44" i="1"/>
  <c r="F44" i="1"/>
  <c r="D44" i="1"/>
  <c r="J44" i="1" s="1"/>
  <c r="C44" i="1"/>
  <c r="E44" i="1" s="1"/>
  <c r="G44" i="1" s="1"/>
  <c r="E37" i="1"/>
  <c r="I32" i="1"/>
  <c r="H32" i="1"/>
  <c r="F32" i="1"/>
  <c r="D32" i="1"/>
  <c r="J32" i="1" s="1"/>
  <c r="I31" i="1"/>
  <c r="H31" i="1"/>
  <c r="F31" i="1"/>
  <c r="D31" i="1"/>
  <c r="J31" i="1" s="1"/>
  <c r="J30" i="1"/>
  <c r="I30" i="1"/>
  <c r="J29" i="1"/>
  <c r="I29" i="1"/>
  <c r="H27" i="1"/>
  <c r="H39" i="1" s="1"/>
  <c r="F27" i="1"/>
  <c r="F39" i="1" s="1"/>
  <c r="D27" i="1"/>
  <c r="D49" i="1" s="1"/>
  <c r="H26" i="1"/>
  <c r="H38" i="1" s="1"/>
  <c r="F26" i="1"/>
  <c r="F38" i="1" s="1"/>
  <c r="D26" i="1"/>
  <c r="D48" i="1" s="1"/>
  <c r="D25" i="1"/>
  <c r="J25" i="1" s="1"/>
  <c r="D24" i="1"/>
  <c r="J24" i="1" s="1"/>
  <c r="H22" i="1"/>
  <c r="F22" i="1" s="1"/>
  <c r="E22" i="1"/>
  <c r="D22" i="1"/>
  <c r="J22" i="1" s="1"/>
  <c r="C22" i="1"/>
  <c r="E21" i="1"/>
  <c r="G21" i="1" s="1"/>
  <c r="H21" i="1" s="1"/>
  <c r="D21" i="1"/>
  <c r="D37" i="1" s="1"/>
  <c r="H20" i="1"/>
  <c r="H33" i="1" s="1"/>
  <c r="D20" i="1"/>
  <c r="H16" i="1"/>
  <c r="J15" i="1"/>
  <c r="I15" i="1"/>
  <c r="F15" i="1"/>
  <c r="D15" i="1"/>
  <c r="J14" i="1"/>
  <c r="I14" i="1"/>
  <c r="F14" i="1"/>
  <c r="D14" i="1"/>
  <c r="J13" i="1"/>
  <c r="I13" i="1"/>
  <c r="F13" i="1"/>
  <c r="D13" i="1"/>
  <c r="J11" i="1"/>
  <c r="J10" i="1"/>
  <c r="J9" i="1"/>
  <c r="H8" i="1"/>
  <c r="D8" i="1"/>
  <c r="D16" i="1" s="1"/>
  <c r="H6" i="1"/>
  <c r="H43" i="1" s="1"/>
  <c r="F6" i="1"/>
  <c r="F62" i="1" s="1"/>
  <c r="D6" i="1"/>
  <c r="D43" i="1" s="1"/>
  <c r="C6" i="1"/>
  <c r="C53" i="1" s="1"/>
  <c r="J6" i="1" l="1"/>
  <c r="F20" i="1"/>
  <c r="J20" i="1" s="1"/>
  <c r="F8" i="1"/>
  <c r="F16" i="1" s="1"/>
  <c r="J66" i="1"/>
  <c r="O19" i="2"/>
  <c r="H37" i="1"/>
  <c r="J37" i="1" s="1"/>
  <c r="F21" i="1"/>
  <c r="F37" i="1" s="1"/>
  <c r="J64" i="1"/>
  <c r="D50" i="1"/>
  <c r="F33" i="1"/>
  <c r="O53" i="2"/>
  <c r="J49" i="1"/>
  <c r="O36" i="2"/>
  <c r="J8" i="1"/>
  <c r="J16" i="1" s="1"/>
  <c r="C20" i="1"/>
  <c r="J21" i="1"/>
  <c r="F36" i="1"/>
  <c r="F40" i="1" s="1"/>
  <c r="F43" i="1"/>
  <c r="F50" i="1" s="1"/>
  <c r="H48" i="1"/>
  <c r="H50" i="1" s="1"/>
  <c r="H49" i="1"/>
  <c r="F56" i="1"/>
  <c r="F65" i="1" s="1"/>
  <c r="J65" i="1" s="1"/>
  <c r="J57" i="1"/>
  <c r="H62" i="1"/>
  <c r="H67" i="1" s="1"/>
  <c r="E6" i="1"/>
  <c r="D33" i="1"/>
  <c r="C36" i="1"/>
  <c r="D38" i="1"/>
  <c r="J38" i="1" s="1"/>
  <c r="D39" i="1"/>
  <c r="J39" i="1" s="1"/>
  <c r="C43" i="1"/>
  <c r="F53" i="1"/>
  <c r="F58" i="1" s="1"/>
  <c r="J56" i="1"/>
  <c r="D58" i="1"/>
  <c r="O8" i="2"/>
  <c r="O25" i="2"/>
  <c r="O42" i="2"/>
  <c r="C8" i="1"/>
  <c r="J26" i="1"/>
  <c r="J27" i="1"/>
  <c r="D36" i="1"/>
  <c r="H36" i="1"/>
  <c r="J55" i="1"/>
  <c r="J33" i="1" l="1"/>
  <c r="D69" i="1"/>
  <c r="J36" i="1"/>
  <c r="J40" i="1" s="1"/>
  <c r="D40" i="1"/>
  <c r="J48" i="1"/>
  <c r="J53" i="1"/>
  <c r="J58" i="1" s="1"/>
  <c r="J43" i="1"/>
  <c r="J62" i="1"/>
  <c r="J67" i="1" s="1"/>
  <c r="H40" i="1"/>
  <c r="H69" i="1" s="1"/>
  <c r="E43" i="1"/>
  <c r="E36" i="1"/>
  <c r="G6" i="1"/>
  <c r="E20" i="1"/>
  <c r="E62" i="1"/>
  <c r="E53" i="1"/>
  <c r="E8" i="1"/>
  <c r="F67" i="1"/>
  <c r="F69" i="1" s="1"/>
  <c r="G62" i="1" l="1"/>
  <c r="G8" i="1"/>
  <c r="G43" i="1"/>
  <c r="G36" i="1"/>
  <c r="G20" i="1"/>
  <c r="J50" i="1"/>
  <c r="J69" i="1" s="1"/>
</calcChain>
</file>

<file path=xl/sharedStrings.xml><?xml version="1.0" encoding="utf-8"?>
<sst xmlns="http://schemas.openxmlformats.org/spreadsheetml/2006/main" count="132" uniqueCount="57">
  <si>
    <t>C. Cost, Schedule, and Measurable Milestones</t>
  </si>
  <si>
    <t>Direct Cost Budget by Phases</t>
  </si>
  <si>
    <t>Phase I</t>
  </si>
  <si>
    <t>Phase II</t>
  </si>
  <si>
    <t>Phase III</t>
  </si>
  <si>
    <t>10/1/2011 - 9/30/2012</t>
  </si>
  <si>
    <t>10/1/2012 - 3/31/2014</t>
  </si>
  <si>
    <t>3/1/2014 - 9/30/2014</t>
  </si>
  <si>
    <t>TOTAL</t>
  </si>
  <si>
    <t>#</t>
  </si>
  <si>
    <t>$$</t>
  </si>
  <si>
    <t>R. Rabadan</t>
  </si>
  <si>
    <r>
      <t>Project 1</t>
    </r>
    <r>
      <rPr>
        <i/>
        <sz val="12"/>
        <color indexed="8"/>
        <rFont val="Times New Roman"/>
        <family val="1"/>
      </rPr>
      <t xml:space="preserve"> (Hong Kong)</t>
    </r>
  </si>
  <si>
    <t>PI</t>
  </si>
  <si>
    <t>LL Poon</t>
  </si>
  <si>
    <t>TW Oliver</t>
  </si>
  <si>
    <t>Sr. Res. Asst</t>
  </si>
  <si>
    <t xml:space="preserve">   Milestone: Samples Tested</t>
  </si>
  <si>
    <t>Experiment 1</t>
  </si>
  <si>
    <t>Experiment 2</t>
  </si>
  <si>
    <t>Experiment 3</t>
  </si>
  <si>
    <r>
      <t xml:space="preserve">Project 2 </t>
    </r>
    <r>
      <rPr>
        <i/>
        <sz val="12"/>
        <color indexed="8"/>
        <rFont val="Times New Roman"/>
        <family val="1"/>
      </rPr>
      <t>(Columbia)</t>
    </r>
  </si>
  <si>
    <t>PostDoc</t>
  </si>
  <si>
    <t>H. Khiabanian</t>
  </si>
  <si>
    <t>Technician</t>
  </si>
  <si>
    <t>TBD</t>
  </si>
  <si>
    <t>Equip</t>
  </si>
  <si>
    <t>PacBio RS</t>
  </si>
  <si>
    <t>Warranty &amp; Training</t>
  </si>
  <si>
    <t>Supplies</t>
  </si>
  <si>
    <t>Travel</t>
  </si>
  <si>
    <t>Prelim</t>
  </si>
  <si>
    <r>
      <t xml:space="preserve">Project 3 </t>
    </r>
    <r>
      <rPr>
        <i/>
        <sz val="12"/>
        <color indexed="8"/>
        <rFont val="Times New Roman"/>
        <family val="1"/>
      </rPr>
      <t>(Columbia)</t>
    </r>
  </si>
  <si>
    <t xml:space="preserve">  Milestone: Database (May 2012)</t>
  </si>
  <si>
    <r>
      <t xml:space="preserve">Project 4 </t>
    </r>
    <r>
      <rPr>
        <i/>
        <sz val="12"/>
        <color indexed="8"/>
        <rFont val="Times New Roman"/>
        <family val="1"/>
      </rPr>
      <t>(Columbia)</t>
    </r>
  </si>
  <si>
    <t xml:space="preserve">  Milestone: NextGen algorithm (May 2013)</t>
  </si>
  <si>
    <t>V. Trifonov</t>
  </si>
  <si>
    <t>GRA</t>
  </si>
  <si>
    <t>GRA Tuition</t>
  </si>
  <si>
    <t>GRA Fees</t>
  </si>
  <si>
    <r>
      <t>Project 5</t>
    </r>
    <r>
      <rPr>
        <i/>
        <sz val="12"/>
        <color indexed="8"/>
        <rFont val="Times New Roman"/>
        <family val="1"/>
      </rPr>
      <t xml:space="preserve"> (IAS)</t>
    </r>
  </si>
  <si>
    <t xml:space="preserve">  Milestone: Single Molecule Variant Call Algorithm (May 2014)</t>
  </si>
  <si>
    <t>Co-PI</t>
  </si>
  <si>
    <t>A. Levine</t>
  </si>
  <si>
    <t>B. Greenbaum</t>
  </si>
  <si>
    <r>
      <t>Project 6</t>
    </r>
    <r>
      <rPr>
        <i/>
        <sz val="12"/>
        <color indexed="8"/>
        <rFont val="Times New Roman"/>
        <family val="1"/>
      </rPr>
      <t xml:space="preserve"> (IAS)</t>
    </r>
  </si>
  <si>
    <t xml:space="preserve">  Milestone: First Model Comparison (May 2013)</t>
  </si>
  <si>
    <t xml:space="preserve">TOTAL PROPOSAL   </t>
  </si>
  <si>
    <t>B.1.i. Funding requirements by Month</t>
  </si>
  <si>
    <t>Budget by Month</t>
  </si>
  <si>
    <t>Direct Labor</t>
  </si>
  <si>
    <t>Indirect Costs</t>
  </si>
  <si>
    <t>Other Direct Costs</t>
  </si>
  <si>
    <t>Equipment</t>
  </si>
  <si>
    <t>Materials</t>
  </si>
  <si>
    <t>Subcontracts</t>
  </si>
  <si>
    <t>Phase II cont.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</si>
</sst>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8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sz val="12"/>
      <color indexed="8"/>
      <name val="Times New Roman"/>
      <family val="1"/>
    </font>
    <font>
      <i/>
      <sz val="12"/>
      <color theme="1"/>
      <name val="Times New Roman"/>
      <family val="1"/>
    </font>
    <font>
      <u/>
      <sz val="11"/>
      <color theme="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/>
    <xf numFmtId="164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0" xfId="0" applyFont="1"/>
    <xf numFmtId="49" fontId="2" fillId="0" borderId="0" xfId="0" applyNumberFormat="1" applyFont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right"/>
    </xf>
    <xf numFmtId="164" fontId="3" fillId="0" borderId="0" xfId="0" applyNumberFormat="1" applyFont="1"/>
    <xf numFmtId="9" fontId="3" fillId="0" borderId="1" xfId="0" applyNumberFormat="1" applyFont="1" applyBorder="1"/>
    <xf numFmtId="0" fontId="4" fillId="0" borderId="1" xfId="0" applyFont="1" applyBorder="1"/>
    <xf numFmtId="164" fontId="4" fillId="0" borderId="0" xfId="0" applyNumberFormat="1" applyFont="1" applyBorder="1"/>
    <xf numFmtId="0" fontId="9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/>
    <xf numFmtId="10" fontId="3" fillId="0" borderId="0" xfId="3" applyNumberFormat="1" applyFont="1" applyAlignment="1">
      <alignment horizontal="right"/>
    </xf>
    <xf numFmtId="10" fontId="3" fillId="0" borderId="1" xfId="3" applyNumberFormat="1" applyFont="1" applyBorder="1"/>
    <xf numFmtId="0" fontId="12" fillId="0" borderId="0" xfId="0" applyFont="1" applyAlignment="1">
      <alignment horizontal="left"/>
    </xf>
    <xf numFmtId="9" fontId="3" fillId="0" borderId="0" xfId="3" applyFont="1" applyAlignment="1">
      <alignment horizontal="right"/>
    </xf>
    <xf numFmtId="9" fontId="3" fillId="0" borderId="1" xfId="3" applyFont="1" applyBorder="1"/>
    <xf numFmtId="164" fontId="3" fillId="0" borderId="0" xfId="2" applyNumberFormat="1" applyFont="1"/>
    <xf numFmtId="0" fontId="3" fillId="0" borderId="1" xfId="0" applyFont="1" applyBorder="1" applyAlignment="1">
      <alignment horizontal="left"/>
    </xf>
    <xf numFmtId="165" fontId="3" fillId="0" borderId="0" xfId="0" applyNumberFormat="1" applyFo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164" fontId="4" fillId="0" borderId="4" xfId="0" applyNumberFormat="1" applyFont="1" applyBorder="1"/>
    <xf numFmtId="0" fontId="4" fillId="0" borderId="5" xfId="0" applyFont="1" applyBorder="1"/>
    <xf numFmtId="164" fontId="3" fillId="0" borderId="0" xfId="2" applyNumberFormat="1" applyFont="1" applyFill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2" applyNumberFormat="1" applyFont="1" applyBorder="1"/>
    <xf numFmtId="9" fontId="3" fillId="0" borderId="0" xfId="3" applyNumberFormat="1" applyFont="1" applyAlignment="1">
      <alignment horizontal="right"/>
    </xf>
    <xf numFmtId="166" fontId="3" fillId="0" borderId="1" xfId="3" applyNumberFormat="1" applyFont="1" applyBorder="1"/>
    <xf numFmtId="9" fontId="3" fillId="0" borderId="1" xfId="3" applyNumberFormat="1" applyFont="1" applyBorder="1"/>
    <xf numFmtId="166" fontId="3" fillId="0" borderId="0" xfId="3" applyNumberFormat="1" applyFont="1" applyAlignment="1">
      <alignment horizontal="right"/>
    </xf>
    <xf numFmtId="0" fontId="3" fillId="0" borderId="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164" fontId="8" fillId="0" borderId="0" xfId="0" applyNumberFormat="1" applyFont="1"/>
    <xf numFmtId="0" fontId="8" fillId="0" borderId="1" xfId="0" applyFont="1" applyBorder="1"/>
    <xf numFmtId="164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7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7" fontId="3" fillId="0" borderId="0" xfId="1" applyNumberFormat="1" applyFont="1"/>
    <xf numFmtId="167" fontId="4" fillId="0" borderId="0" xfId="0" applyNumberFormat="1" applyFont="1"/>
    <xf numFmtId="43" fontId="3" fillId="0" borderId="0" xfId="1" applyFont="1"/>
    <xf numFmtId="0" fontId="3" fillId="0" borderId="2" xfId="0" applyFont="1" applyBorder="1" applyAlignment="1">
      <alignment horizontal="right"/>
    </xf>
    <xf numFmtId="167" fontId="3" fillId="0" borderId="2" xfId="1" applyNumberFormat="1" applyFont="1" applyBorder="1"/>
    <xf numFmtId="0" fontId="4" fillId="0" borderId="6" xfId="0" applyFont="1" applyBorder="1" applyAlignment="1">
      <alignment horizontal="right"/>
    </xf>
    <xf numFmtId="167" fontId="4" fillId="0" borderId="6" xfId="1" applyNumberFormat="1" applyFont="1" applyBorder="1"/>
    <xf numFmtId="167" fontId="4" fillId="0" borderId="6" xfId="0" applyNumberFormat="1" applyFont="1" applyBorder="1"/>
    <xf numFmtId="0" fontId="7" fillId="0" borderId="0" xfId="0" applyFont="1" applyBorder="1" applyAlignment="1"/>
    <xf numFmtId="0" fontId="4" fillId="0" borderId="0" xfId="0" applyFont="1" applyAlignment="1">
      <alignment horizontal="right"/>
    </xf>
    <xf numFmtId="167" fontId="4" fillId="0" borderId="0" xfId="1" applyNumberFormat="1" applyFont="1"/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17" fontId="13" fillId="0" borderId="7" xfId="0" applyNumberFormat="1" applyFont="1" applyBorder="1" applyAlignment="1">
      <alignment horizontal="center"/>
    </xf>
    <xf numFmtId="17" fontId="13" fillId="0" borderId="0" xfId="0" applyNumberFormat="1" applyFont="1" applyBorder="1" applyAlignment="1">
      <alignment horizontal="center"/>
    </xf>
    <xf numFmtId="167" fontId="3" fillId="0" borderId="7" xfId="1" applyNumberFormat="1" applyFont="1" applyBorder="1"/>
    <xf numFmtId="167" fontId="3" fillId="0" borderId="0" xfId="1" applyNumberFormat="1" applyFont="1" applyBorder="1"/>
    <xf numFmtId="0" fontId="3" fillId="0" borderId="7" xfId="0" applyFont="1" applyBorder="1"/>
    <xf numFmtId="167" fontId="3" fillId="0" borderId="8" xfId="1" applyNumberFormat="1" applyFont="1" applyBorder="1"/>
    <xf numFmtId="167" fontId="4" fillId="0" borderId="9" xfId="1" applyNumberFormat="1" applyFont="1" applyBorder="1"/>
  </cellXfs>
  <cellStyles count="6">
    <cellStyle name="Comma" xfId="1" builtinId="3"/>
    <cellStyle name="Currency" xfId="2" builtinId="4"/>
    <cellStyle name="Currency 2" xfId="4"/>
    <cellStyle name="Normal" xfId="0" builtinId="0"/>
    <cellStyle name="Normal 2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dc-profile2.dbmi.columbia.edu\FY%2009-10\Grants%20and%20Proposals\Grants%20by%20PI\Rabadan\FY11%20Proposals\DARPA\RR%20Prophecy%20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al"/>
      <sheetName val="IAS"/>
      <sheetName val="HK"/>
      <sheetName val="by Project"/>
      <sheetName val="by Month"/>
      <sheetName val="Sheet1"/>
    </sheetNames>
    <sheetDataSet>
      <sheetData sheetId="0">
        <row r="5">
          <cell r="E5">
            <v>0.5</v>
          </cell>
          <cell r="F5">
            <v>65000</v>
          </cell>
          <cell r="G5">
            <v>20735</v>
          </cell>
          <cell r="H5">
            <v>67600</v>
          </cell>
          <cell r="I5">
            <v>21564.400000000001</v>
          </cell>
          <cell r="J5">
            <v>70304</v>
          </cell>
          <cell r="K5">
            <v>22426.975999999999</v>
          </cell>
        </row>
        <row r="6">
          <cell r="E6">
            <v>1</v>
          </cell>
          <cell r="F6">
            <v>62400</v>
          </cell>
          <cell r="G6">
            <v>19905.599999999999</v>
          </cell>
          <cell r="H6">
            <v>64896</v>
          </cell>
          <cell r="I6">
            <v>20701.824000000001</v>
          </cell>
          <cell r="J6">
            <v>67491.839999999997</v>
          </cell>
          <cell r="K6">
            <v>21529.896959999998</v>
          </cell>
        </row>
        <row r="7">
          <cell r="F7">
            <v>52000</v>
          </cell>
          <cell r="G7">
            <v>16588</v>
          </cell>
          <cell r="H7">
            <v>54080</v>
          </cell>
          <cell r="I7">
            <v>17251.52</v>
          </cell>
          <cell r="J7">
            <v>56243.200000000004</v>
          </cell>
          <cell r="K7">
            <v>17941.580800000003</v>
          </cell>
        </row>
        <row r="8">
          <cell r="E8">
            <v>1</v>
          </cell>
          <cell r="F8">
            <v>46800</v>
          </cell>
          <cell r="G8">
            <v>14929.2</v>
          </cell>
          <cell r="H8">
            <v>48672</v>
          </cell>
          <cell r="I8">
            <v>15526.368</v>
          </cell>
          <cell r="J8">
            <v>50618.880000000005</v>
          </cell>
          <cell r="K8">
            <v>16147.422720000002</v>
          </cell>
        </row>
        <row r="9">
          <cell r="E9">
            <v>1</v>
          </cell>
          <cell r="F9">
            <v>32373.120000000003</v>
          </cell>
          <cell r="G9">
            <v>0</v>
          </cell>
          <cell r="H9">
            <v>33668.044800000003</v>
          </cell>
          <cell r="I9">
            <v>0</v>
          </cell>
          <cell r="J9">
            <v>35014.766592000007</v>
          </cell>
          <cell r="K9">
            <v>0</v>
          </cell>
        </row>
        <row r="13">
          <cell r="F13">
            <v>8272</v>
          </cell>
          <cell r="H13">
            <v>0</v>
          </cell>
          <cell r="J13">
            <v>0</v>
          </cell>
        </row>
        <row r="15">
          <cell r="F15">
            <v>18250</v>
          </cell>
          <cell r="H15">
            <v>27350</v>
          </cell>
          <cell r="J15">
            <v>13700</v>
          </cell>
        </row>
        <row r="16">
          <cell r="F16">
            <v>18230</v>
          </cell>
          <cell r="H16">
            <v>18776.900000000001</v>
          </cell>
          <cell r="J16">
            <v>19340.207000000002</v>
          </cell>
        </row>
        <row r="17">
          <cell r="F17">
            <v>4775</v>
          </cell>
          <cell r="H17">
            <v>4918.25</v>
          </cell>
          <cell r="J17">
            <v>5065.7975000000006</v>
          </cell>
        </row>
        <row r="18">
          <cell r="F18">
            <v>347500</v>
          </cell>
        </row>
        <row r="19">
          <cell r="F19">
            <v>74000</v>
          </cell>
        </row>
        <row r="27">
          <cell r="F27">
            <v>44444.4</v>
          </cell>
        </row>
        <row r="28">
          <cell r="F28">
            <v>44444.332999999999</v>
          </cell>
        </row>
        <row r="29">
          <cell r="F29">
            <v>44444.332999999999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tabSelected="1" zoomScaleNormal="100" zoomScaleSheetLayoutView="100" workbookViewId="0">
      <selection activeCell="D11" sqref="D11"/>
    </sheetView>
  </sheetViews>
  <sheetFormatPr defaultRowHeight="15.75" x14ac:dyDescent="0.25"/>
  <cols>
    <col min="1" max="1" width="10.7109375" style="1" customWidth="1"/>
    <col min="2" max="2" width="12.7109375" style="2" bestFit="1" customWidth="1"/>
    <col min="3" max="3" width="12.140625" style="34" customWidth="1"/>
    <col min="4" max="4" width="13.85546875" style="28" customWidth="1"/>
    <col min="5" max="5" width="13.85546875" style="35" customWidth="1"/>
    <col min="6" max="6" width="13.85546875" style="28" customWidth="1"/>
    <col min="7" max="7" width="13.85546875" style="35" customWidth="1"/>
    <col min="8" max="8" width="13.85546875" style="7" customWidth="1"/>
    <col min="9" max="9" width="9.28515625" style="30" bestFit="1" customWidth="1"/>
    <col min="10" max="10" width="14.7109375" style="17" bestFit="1" customWidth="1"/>
    <col min="11" max="11" width="9.140625" style="7"/>
    <col min="12" max="13" width="10" style="7" bestFit="1" customWidth="1"/>
    <col min="14" max="16384" width="9.140625" style="7"/>
  </cols>
  <sheetData>
    <row r="1" spans="1:13" x14ac:dyDescent="0.25">
      <c r="A1" s="1" t="s">
        <v>0</v>
      </c>
      <c r="C1" s="3"/>
      <c r="D1" s="4"/>
      <c r="E1" s="5"/>
      <c r="F1" s="4"/>
      <c r="G1" s="5"/>
      <c r="H1" s="5"/>
      <c r="I1" s="6"/>
      <c r="J1" s="6"/>
    </row>
    <row r="2" spans="1:13" ht="22.5" x14ac:dyDescent="0.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3" s="12" customFormat="1" ht="18.75" x14ac:dyDescent="0.3">
      <c r="A3" s="9"/>
      <c r="B3" s="9"/>
      <c r="C3" s="10" t="s">
        <v>2</v>
      </c>
      <c r="D3" s="10"/>
      <c r="E3" s="10" t="s">
        <v>3</v>
      </c>
      <c r="F3" s="10"/>
      <c r="G3" s="10" t="s">
        <v>4</v>
      </c>
      <c r="H3" s="10"/>
      <c r="I3" s="11"/>
      <c r="J3" s="11"/>
    </row>
    <row r="4" spans="1:13" s="17" customFormat="1" x14ac:dyDescent="0.25">
      <c r="A4" s="13"/>
      <c r="B4" s="14"/>
      <c r="C4" s="15" t="s">
        <v>5</v>
      </c>
      <c r="D4" s="15"/>
      <c r="E4" s="16" t="s">
        <v>6</v>
      </c>
      <c r="F4" s="15"/>
      <c r="G4" s="16" t="s">
        <v>7</v>
      </c>
      <c r="H4" s="15"/>
      <c r="I4" s="16" t="s">
        <v>8</v>
      </c>
      <c r="J4" s="15"/>
    </row>
    <row r="5" spans="1:13" s="26" customFormat="1" x14ac:dyDescent="0.25">
      <c r="A5" s="18"/>
      <c r="B5" s="19"/>
      <c r="C5" s="20" t="s">
        <v>9</v>
      </c>
      <c r="D5" s="21" t="s">
        <v>10</v>
      </c>
      <c r="E5" s="22" t="s">
        <v>9</v>
      </c>
      <c r="F5" s="21" t="s">
        <v>10</v>
      </c>
      <c r="G5" s="22" t="s">
        <v>9</v>
      </c>
      <c r="H5" s="23" t="s">
        <v>10</v>
      </c>
      <c r="I5" s="24" t="s">
        <v>9</v>
      </c>
      <c r="J5" s="25" t="s">
        <v>10</v>
      </c>
    </row>
    <row r="6" spans="1:13" x14ac:dyDescent="0.25">
      <c r="B6" s="2" t="s">
        <v>11</v>
      </c>
      <c r="C6" s="27">
        <f>[1]Proposal!E5</f>
        <v>0.5</v>
      </c>
      <c r="D6" s="28">
        <f>SUM([1]Proposal!F5:G5)</f>
        <v>85735</v>
      </c>
      <c r="E6" s="29">
        <f>C6</f>
        <v>0.5</v>
      </c>
      <c r="F6" s="28">
        <f>SUM([1]Proposal!H5:I5)+H6</f>
        <v>135529.88799999998</v>
      </c>
      <c r="G6" s="29">
        <f>E6</f>
        <v>0.5</v>
      </c>
      <c r="H6" s="28">
        <f>SUM([1]Proposal!J5:K5)/2</f>
        <v>46365.487999999998</v>
      </c>
      <c r="J6" s="31">
        <f>D6+F6+H6</f>
        <v>267630.37599999999</v>
      </c>
    </row>
    <row r="7" spans="1:13" x14ac:dyDescent="0.25">
      <c r="A7" s="32" t="s">
        <v>12</v>
      </c>
      <c r="B7" s="33"/>
    </row>
    <row r="8" spans="1:13" x14ac:dyDescent="0.25">
      <c r="A8" s="1" t="s">
        <v>13</v>
      </c>
      <c r="B8" s="2" t="s">
        <v>11</v>
      </c>
      <c r="C8" s="36">
        <f>C6/5</f>
        <v>0.1</v>
      </c>
      <c r="D8" s="28">
        <f>$D$6/5</f>
        <v>17147</v>
      </c>
      <c r="E8" s="37">
        <f>E6/6</f>
        <v>8.3333333333333329E-2</v>
      </c>
      <c r="F8" s="28">
        <f>F6/6</f>
        <v>22588.314666666662</v>
      </c>
      <c r="G8" s="37">
        <f>G6/5</f>
        <v>0.1</v>
      </c>
      <c r="H8" s="28">
        <f>H6/5</f>
        <v>9273.0975999999991</v>
      </c>
      <c r="J8" s="31">
        <f>D8+F8+H8</f>
        <v>49008.412266666659</v>
      </c>
    </row>
    <row r="9" spans="1:13" x14ac:dyDescent="0.25">
      <c r="A9" s="38"/>
      <c r="B9" s="2" t="s">
        <v>14</v>
      </c>
      <c r="C9" s="39">
        <v>0.25</v>
      </c>
      <c r="D9" s="28">
        <v>0</v>
      </c>
      <c r="E9" s="40">
        <v>0.25</v>
      </c>
      <c r="F9" s="28">
        <v>0</v>
      </c>
      <c r="G9" s="40">
        <v>0.25</v>
      </c>
      <c r="H9" s="28">
        <v>0</v>
      </c>
      <c r="J9" s="31">
        <f>D9+F9+H9</f>
        <v>0</v>
      </c>
    </row>
    <row r="10" spans="1:13" x14ac:dyDescent="0.25">
      <c r="B10" s="2" t="s">
        <v>15</v>
      </c>
      <c r="C10" s="39">
        <v>1</v>
      </c>
      <c r="D10" s="28">
        <v>50000</v>
      </c>
      <c r="E10" s="40">
        <v>1</v>
      </c>
      <c r="F10" s="28">
        <v>75000</v>
      </c>
      <c r="G10" s="40">
        <v>1</v>
      </c>
      <c r="H10" s="28">
        <v>25000</v>
      </c>
      <c r="J10" s="31">
        <f>D10+F10+H10</f>
        <v>150000</v>
      </c>
    </row>
    <row r="11" spans="1:13" x14ac:dyDescent="0.25">
      <c r="B11" s="2" t="s">
        <v>16</v>
      </c>
      <c r="C11" s="39">
        <v>1</v>
      </c>
      <c r="D11" s="28">
        <v>50000</v>
      </c>
      <c r="E11" s="40">
        <v>1</v>
      </c>
      <c r="F11" s="28">
        <v>75000</v>
      </c>
      <c r="G11" s="40">
        <v>1</v>
      </c>
      <c r="H11" s="28">
        <v>25000</v>
      </c>
      <c r="J11" s="31">
        <f>D11+F11+H11</f>
        <v>150000</v>
      </c>
    </row>
    <row r="12" spans="1:13" x14ac:dyDescent="0.25">
      <c r="C12" s="2" t="s">
        <v>17</v>
      </c>
      <c r="D12" s="41"/>
      <c r="E12" s="42" t="s">
        <v>17</v>
      </c>
      <c r="F12" s="41"/>
      <c r="G12" s="42" t="s">
        <v>17</v>
      </c>
    </row>
    <row r="13" spans="1:13" x14ac:dyDescent="0.25">
      <c r="B13" s="2" t="s">
        <v>18</v>
      </c>
      <c r="C13" s="34">
        <v>300</v>
      </c>
      <c r="D13" s="41">
        <f>C13*201.11111</f>
        <v>60333.332999999999</v>
      </c>
      <c r="E13" s="35">
        <v>600</v>
      </c>
      <c r="F13" s="41">
        <f>E13*201.11111</f>
        <v>120666.666</v>
      </c>
      <c r="I13" s="30">
        <f t="shared" ref="I13:J15" si="0">C13+E13+G13</f>
        <v>900</v>
      </c>
      <c r="J13" s="31">
        <f t="shared" si="0"/>
        <v>180999.99900000001</v>
      </c>
      <c r="L13" s="43"/>
      <c r="M13" s="43"/>
    </row>
    <row r="14" spans="1:13" x14ac:dyDescent="0.25">
      <c r="B14" s="2" t="s">
        <v>19</v>
      </c>
      <c r="C14" s="34">
        <v>12</v>
      </c>
      <c r="D14" s="41">
        <f>C14*2666.6666</f>
        <v>31999.999199999998</v>
      </c>
      <c r="E14" s="35">
        <v>24</v>
      </c>
      <c r="F14" s="41">
        <f>E14*2666.6666</f>
        <v>63999.998399999997</v>
      </c>
      <c r="I14" s="30">
        <f t="shared" si="0"/>
        <v>36</v>
      </c>
      <c r="J14" s="31">
        <f t="shared" si="0"/>
        <v>95999.997600000002</v>
      </c>
      <c r="L14" s="43"/>
      <c r="M14" s="43"/>
    </row>
    <row r="15" spans="1:13" x14ac:dyDescent="0.25">
      <c r="B15" s="2" t="s">
        <v>20</v>
      </c>
      <c r="C15" s="34">
        <v>100</v>
      </c>
      <c r="D15" s="41">
        <f>C15*112</f>
        <v>11200</v>
      </c>
      <c r="E15" s="35">
        <v>150</v>
      </c>
      <c r="F15" s="41">
        <f>E15*112</f>
        <v>16800</v>
      </c>
      <c r="I15" s="30">
        <f t="shared" si="0"/>
        <v>250</v>
      </c>
      <c r="J15" s="31">
        <f t="shared" si="0"/>
        <v>28000</v>
      </c>
      <c r="L15" s="43"/>
      <c r="M15" s="43"/>
    </row>
    <row r="16" spans="1:13" s="17" customFormat="1" x14ac:dyDescent="0.25">
      <c r="A16" s="13"/>
      <c r="B16" s="44" t="s">
        <v>8</v>
      </c>
      <c r="C16" s="45"/>
      <c r="D16" s="46">
        <f>SUM(D8:D15)</f>
        <v>220680.33219999998</v>
      </c>
      <c r="E16" s="47"/>
      <c r="F16" s="46">
        <f>SUM(F8:F15)</f>
        <v>374054.97906666662</v>
      </c>
      <c r="G16" s="47"/>
      <c r="H16" s="46">
        <f>SUM(H9:H15)</f>
        <v>50000</v>
      </c>
      <c r="I16" s="47"/>
      <c r="J16" s="46">
        <f>SUM(J8:J15)</f>
        <v>654008.40886666661</v>
      </c>
    </row>
    <row r="19" spans="1:10" x14ac:dyDescent="0.25">
      <c r="A19" s="32" t="s">
        <v>21</v>
      </c>
      <c r="B19" s="33"/>
    </row>
    <row r="20" spans="1:10" x14ac:dyDescent="0.25">
      <c r="A20" s="13"/>
      <c r="B20" s="2" t="s">
        <v>11</v>
      </c>
      <c r="C20" s="36">
        <f>$C$6/5</f>
        <v>0.1</v>
      </c>
      <c r="D20" s="28">
        <f>$D$6/5</f>
        <v>17147</v>
      </c>
      <c r="E20" s="37">
        <f>$E$6/6</f>
        <v>8.3333333333333329E-2</v>
      </c>
      <c r="F20" s="28">
        <f>$F$6/6</f>
        <v>22588.314666666662</v>
      </c>
      <c r="G20" s="37">
        <f>$G$6/5</f>
        <v>0.1</v>
      </c>
      <c r="H20" s="28">
        <f>$H$6/5</f>
        <v>9273.0975999999991</v>
      </c>
      <c r="J20" s="31">
        <f>D20+F20+H20</f>
        <v>49008.412266666659</v>
      </c>
    </row>
    <row r="21" spans="1:10" x14ac:dyDescent="0.25">
      <c r="A21" s="1" t="s">
        <v>22</v>
      </c>
      <c r="B21" s="2" t="s">
        <v>23</v>
      </c>
      <c r="C21" s="27">
        <v>0.5</v>
      </c>
      <c r="D21" s="28">
        <f>SUM([1]Proposal!F7:G7)*C21</f>
        <v>34294</v>
      </c>
      <c r="E21" s="29">
        <f>C21</f>
        <v>0.5</v>
      </c>
      <c r="F21" s="28">
        <f>((SUM([1]Proposal!H7:I7))+H21*2)*E21</f>
        <v>54211.955200000004</v>
      </c>
      <c r="G21" s="29">
        <f>E21</f>
        <v>0.5</v>
      </c>
      <c r="H21" s="28">
        <f>SUM([1]Proposal!J7:K7)/2*G21</f>
        <v>18546.195200000002</v>
      </c>
      <c r="J21" s="31">
        <f>D21+F21+H21</f>
        <v>107052.1504</v>
      </c>
    </row>
    <row r="22" spans="1:10" x14ac:dyDescent="0.25">
      <c r="A22" s="1" t="s">
        <v>24</v>
      </c>
      <c r="B22" s="2" t="s">
        <v>25</v>
      </c>
      <c r="C22" s="27">
        <f>[1]Proposal!E8</f>
        <v>1</v>
      </c>
      <c r="D22" s="28">
        <f>SUM([1]Proposal!F8:G8)</f>
        <v>61729.2</v>
      </c>
      <c r="E22" s="29">
        <f>C22</f>
        <v>1</v>
      </c>
      <c r="F22" s="28">
        <f>((SUM([1]Proposal!H8:I8))+H22)*E22</f>
        <v>97581.519360000006</v>
      </c>
      <c r="G22" s="29">
        <v>1</v>
      </c>
      <c r="H22" s="28">
        <f>SUM([1]Proposal!J8:K8)/2*G22</f>
        <v>33383.151360000003</v>
      </c>
      <c r="J22" s="31">
        <f>D22+F22+H22</f>
        <v>192693.87072000001</v>
      </c>
    </row>
    <row r="24" spans="1:10" x14ac:dyDescent="0.25">
      <c r="B24" s="2" t="s">
        <v>26</v>
      </c>
      <c r="C24" s="34" t="s">
        <v>27</v>
      </c>
      <c r="D24" s="28">
        <f>[1]Proposal!F18</f>
        <v>347500</v>
      </c>
      <c r="J24" s="31">
        <f>D24+F24+H24</f>
        <v>347500</v>
      </c>
    </row>
    <row r="25" spans="1:10" x14ac:dyDescent="0.25">
      <c r="C25" s="34" t="s">
        <v>28</v>
      </c>
      <c r="D25" s="28">
        <f>[1]Proposal!F19</f>
        <v>74000</v>
      </c>
      <c r="J25" s="31">
        <f>D25+F25+H25</f>
        <v>74000</v>
      </c>
    </row>
    <row r="26" spans="1:10" x14ac:dyDescent="0.25">
      <c r="B26" s="2" t="s">
        <v>29</v>
      </c>
      <c r="D26" s="28">
        <f>[1]Proposal!F13/3</f>
        <v>2757.3333333333335</v>
      </c>
      <c r="F26" s="28">
        <f>[1]Proposal!H13/3</f>
        <v>0</v>
      </c>
      <c r="H26" s="28">
        <f>[1]Proposal!J13/3</f>
        <v>0</v>
      </c>
      <c r="J26" s="31">
        <f>D26+F26+H26</f>
        <v>2757.3333333333335</v>
      </c>
    </row>
    <row r="27" spans="1:10" x14ac:dyDescent="0.25">
      <c r="B27" s="2" t="s">
        <v>30</v>
      </c>
      <c r="D27" s="28">
        <f>[1]Proposal!F15/3</f>
        <v>6083.333333333333</v>
      </c>
      <c r="F27" s="28">
        <f>[1]Proposal!H15/3</f>
        <v>9116.6666666666661</v>
      </c>
      <c r="H27" s="28">
        <f>[1]Proposal!J15/3</f>
        <v>4566.666666666667</v>
      </c>
      <c r="J27" s="31">
        <f>D27+F27+H27</f>
        <v>19766.666666666668</v>
      </c>
    </row>
    <row r="28" spans="1:10" x14ac:dyDescent="0.25">
      <c r="C28" s="2" t="s">
        <v>17</v>
      </c>
      <c r="D28" s="41"/>
      <c r="E28" s="42" t="s">
        <v>17</v>
      </c>
      <c r="F28" s="41"/>
      <c r="G28" s="42" t="s">
        <v>17</v>
      </c>
      <c r="J28" s="31"/>
    </row>
    <row r="29" spans="1:10" x14ac:dyDescent="0.25">
      <c r="B29" s="2" t="s">
        <v>31</v>
      </c>
      <c r="C29" s="34">
        <v>1</v>
      </c>
      <c r="D29" s="41">
        <v>6000</v>
      </c>
      <c r="F29" s="41"/>
      <c r="I29" s="30">
        <f t="shared" ref="I29:J32" si="1">C29+E29+G29</f>
        <v>1</v>
      </c>
      <c r="J29" s="31">
        <f t="shared" si="1"/>
        <v>6000</v>
      </c>
    </row>
    <row r="30" spans="1:10" x14ac:dyDescent="0.25">
      <c r="B30" s="2" t="s">
        <v>18</v>
      </c>
      <c r="C30" s="34">
        <v>250</v>
      </c>
      <c r="D30" s="41">
        <v>67500</v>
      </c>
      <c r="E30" s="35">
        <v>375</v>
      </c>
      <c r="F30" s="41">
        <v>113846.25</v>
      </c>
      <c r="G30" s="35">
        <v>125</v>
      </c>
      <c r="H30" s="48">
        <v>37948.75</v>
      </c>
      <c r="I30" s="30">
        <f t="shared" si="1"/>
        <v>750</v>
      </c>
      <c r="J30" s="31">
        <f t="shared" si="1"/>
        <v>219295</v>
      </c>
    </row>
    <row r="31" spans="1:10" x14ac:dyDescent="0.25">
      <c r="B31" s="2" t="s">
        <v>19</v>
      </c>
      <c r="C31" s="34">
        <v>12</v>
      </c>
      <c r="D31" s="41">
        <f>C31*333.333</f>
        <v>3999.9960000000001</v>
      </c>
      <c r="E31" s="35">
        <v>18</v>
      </c>
      <c r="F31" s="41">
        <f>E31*333.333</f>
        <v>5999.9940000000006</v>
      </c>
      <c r="G31" s="35">
        <v>6</v>
      </c>
      <c r="H31" s="41">
        <f>G31*333.333</f>
        <v>1999.998</v>
      </c>
      <c r="I31" s="30">
        <f t="shared" si="1"/>
        <v>36</v>
      </c>
      <c r="J31" s="31">
        <f t="shared" si="1"/>
        <v>11999.988000000001</v>
      </c>
    </row>
    <row r="32" spans="1:10" x14ac:dyDescent="0.25">
      <c r="A32" s="49"/>
      <c r="B32" s="50" t="s">
        <v>20</v>
      </c>
      <c r="C32" s="3">
        <v>50</v>
      </c>
      <c r="D32" s="51">
        <f>C32*262</f>
        <v>13100</v>
      </c>
      <c r="E32" s="35">
        <v>175</v>
      </c>
      <c r="F32" s="51">
        <f>E32*262</f>
        <v>45850</v>
      </c>
      <c r="G32" s="35">
        <v>25</v>
      </c>
      <c r="H32" s="51">
        <f>G32*262</f>
        <v>6550</v>
      </c>
      <c r="I32" s="30">
        <f t="shared" si="1"/>
        <v>250</v>
      </c>
      <c r="J32" s="31">
        <f t="shared" si="1"/>
        <v>65500</v>
      </c>
    </row>
    <row r="33" spans="1:10" s="17" customFormat="1" x14ac:dyDescent="0.25">
      <c r="A33" s="13"/>
      <c r="B33" s="44" t="s">
        <v>8</v>
      </c>
      <c r="C33" s="45"/>
      <c r="D33" s="46">
        <f>SUM(D20:D32)</f>
        <v>634110.86266666674</v>
      </c>
      <c r="E33" s="47"/>
      <c r="F33" s="46">
        <f>SUM(F20:F32)</f>
        <v>349194.69989333331</v>
      </c>
      <c r="G33" s="47"/>
      <c r="H33" s="46">
        <f>SUM(H20:H32)</f>
        <v>112267.85882666668</v>
      </c>
      <c r="I33" s="47"/>
      <c r="J33" s="46">
        <f>SUM(J20:J32)</f>
        <v>1095573.4213866666</v>
      </c>
    </row>
    <row r="35" spans="1:10" x14ac:dyDescent="0.25">
      <c r="A35" s="32" t="s">
        <v>32</v>
      </c>
      <c r="B35" s="33"/>
      <c r="C35" s="2" t="s">
        <v>33</v>
      </c>
    </row>
    <row r="36" spans="1:10" x14ac:dyDescent="0.25">
      <c r="A36" s="1" t="s">
        <v>13</v>
      </c>
      <c r="B36" s="2" t="s">
        <v>11</v>
      </c>
      <c r="C36" s="36">
        <f>$C$6/5</f>
        <v>0.1</v>
      </c>
      <c r="D36" s="28">
        <f>$D$6/5</f>
        <v>17147</v>
      </c>
      <c r="E36" s="37">
        <f>$E$6/6</f>
        <v>8.3333333333333329E-2</v>
      </c>
      <c r="F36" s="28">
        <f>$F$6/6</f>
        <v>22588.314666666662</v>
      </c>
      <c r="G36" s="37">
        <f>$G$6/5</f>
        <v>0.1</v>
      </c>
      <c r="H36" s="28">
        <f>$H$6/5</f>
        <v>9273.0975999999991</v>
      </c>
      <c r="J36" s="31">
        <f>D36+F36+H36</f>
        <v>49008.412266666659</v>
      </c>
    </row>
    <row r="37" spans="1:10" x14ac:dyDescent="0.25">
      <c r="A37" s="1" t="s">
        <v>22</v>
      </c>
      <c r="B37" s="2" t="s">
        <v>23</v>
      </c>
      <c r="C37" s="27">
        <v>0.5</v>
      </c>
      <c r="D37" s="28">
        <f>D21</f>
        <v>34294</v>
      </c>
      <c r="E37" s="29">
        <f>C37</f>
        <v>0.5</v>
      </c>
      <c r="F37" s="28">
        <f>F21</f>
        <v>54211.955200000004</v>
      </c>
      <c r="G37" s="29">
        <v>0.5</v>
      </c>
      <c r="H37" s="28">
        <f>H21</f>
        <v>18546.195200000002</v>
      </c>
      <c r="J37" s="31">
        <f>D37+F37+H37</f>
        <v>107052.1504</v>
      </c>
    </row>
    <row r="38" spans="1:10" x14ac:dyDescent="0.25">
      <c r="B38" s="2" t="s">
        <v>29</v>
      </c>
      <c r="D38" s="28">
        <f>D26</f>
        <v>2757.3333333333335</v>
      </c>
      <c r="F38" s="28">
        <f>F26</f>
        <v>0</v>
      </c>
      <c r="H38" s="28">
        <f>H26</f>
        <v>0</v>
      </c>
      <c r="J38" s="31">
        <f>D38+F38+H38</f>
        <v>2757.3333333333335</v>
      </c>
    </row>
    <row r="39" spans="1:10" x14ac:dyDescent="0.25">
      <c r="B39" s="2" t="s">
        <v>30</v>
      </c>
      <c r="D39" s="28">
        <f>D27</f>
        <v>6083.333333333333</v>
      </c>
      <c r="F39" s="28">
        <f>F27</f>
        <v>9116.6666666666661</v>
      </c>
      <c r="H39" s="28">
        <f>H27</f>
        <v>4566.666666666667</v>
      </c>
      <c r="J39" s="31">
        <f>D39+F39+H39</f>
        <v>19766.666666666668</v>
      </c>
    </row>
    <row r="40" spans="1:10" s="17" customFormat="1" x14ac:dyDescent="0.25">
      <c r="A40" s="13"/>
      <c r="B40" s="44" t="s">
        <v>8</v>
      </c>
      <c r="C40" s="45"/>
      <c r="D40" s="46">
        <f>SUM(D36:D39)</f>
        <v>60281.666666666672</v>
      </c>
      <c r="E40" s="47"/>
      <c r="F40" s="46">
        <f>SUM(F36:F39)</f>
        <v>85916.936533333341</v>
      </c>
      <c r="G40" s="47"/>
      <c r="H40" s="46">
        <f>SUM(H36:H39)</f>
        <v>32385.959466666671</v>
      </c>
      <c r="I40" s="47"/>
      <c r="J40" s="46">
        <f>SUM(J36:J39)</f>
        <v>178584.56266666666</v>
      </c>
    </row>
    <row r="41" spans="1:10" x14ac:dyDescent="0.25">
      <c r="B41" s="50"/>
      <c r="C41" s="3"/>
      <c r="D41" s="51"/>
      <c r="F41" s="51"/>
      <c r="H41" s="51"/>
      <c r="J41" s="31"/>
    </row>
    <row r="42" spans="1:10" x14ac:dyDescent="0.25">
      <c r="A42" s="32" t="s">
        <v>34</v>
      </c>
      <c r="B42" s="33"/>
      <c r="E42" s="35" t="s">
        <v>35</v>
      </c>
    </row>
    <row r="43" spans="1:10" x14ac:dyDescent="0.25">
      <c r="A43" s="1" t="s">
        <v>13</v>
      </c>
      <c r="B43" s="2" t="s">
        <v>11</v>
      </c>
      <c r="C43" s="36">
        <f>$C$6/5</f>
        <v>0.1</v>
      </c>
      <c r="D43" s="28">
        <f>$D$6/5</f>
        <v>17147</v>
      </c>
      <c r="E43" s="37">
        <f>$E$6/6</f>
        <v>8.3333333333333329E-2</v>
      </c>
      <c r="F43" s="28">
        <f>$F$6/6</f>
        <v>22588.314666666662</v>
      </c>
      <c r="G43" s="37">
        <f>$G$6/5</f>
        <v>0.1</v>
      </c>
      <c r="H43" s="28">
        <f>$H$6/5</f>
        <v>9273.0975999999991</v>
      </c>
      <c r="J43" s="31">
        <f t="shared" ref="J43:J49" si="2">D43+F43+H43</f>
        <v>49008.412266666659</v>
      </c>
    </row>
    <row r="44" spans="1:10" x14ac:dyDescent="0.25">
      <c r="A44" s="1" t="s">
        <v>22</v>
      </c>
      <c r="B44" s="2" t="s">
        <v>36</v>
      </c>
      <c r="C44" s="27">
        <f>[1]Proposal!E6</f>
        <v>1</v>
      </c>
      <c r="D44" s="28">
        <f>SUM([1]Proposal!F6:G6)</f>
        <v>82305.600000000006</v>
      </c>
      <c r="E44" s="29">
        <f>C44</f>
        <v>1</v>
      </c>
      <c r="F44" s="28">
        <f>SUM([1]Proposal!H6:I6)+H44</f>
        <v>130108.69248</v>
      </c>
      <c r="G44" s="29">
        <f>E44</f>
        <v>1</v>
      </c>
      <c r="H44" s="28">
        <f>SUM([1]Proposal!J6:K6)/2</f>
        <v>44510.868479999997</v>
      </c>
      <c r="J44" s="31">
        <f t="shared" si="2"/>
        <v>256925.16096000001</v>
      </c>
    </row>
    <row r="45" spans="1:10" x14ac:dyDescent="0.25">
      <c r="A45" s="1" t="s">
        <v>37</v>
      </c>
      <c r="B45" s="2" t="s">
        <v>25</v>
      </c>
      <c r="C45" s="27">
        <f>[1]Proposal!E9</f>
        <v>1</v>
      </c>
      <c r="D45" s="28">
        <f>SUM([1]Proposal!F9:G9)</f>
        <v>32373.120000000003</v>
      </c>
      <c r="E45" s="29">
        <f>C45</f>
        <v>1</v>
      </c>
      <c r="F45" s="28">
        <f>SUM([1]Proposal!H9:I9)+H45</f>
        <v>51175.428096000003</v>
      </c>
      <c r="G45" s="29">
        <f>E45</f>
        <v>1</v>
      </c>
      <c r="H45" s="28">
        <f>SUM([1]Proposal!J9:K9)/2</f>
        <v>17507.383296000004</v>
      </c>
      <c r="J45" s="31">
        <f t="shared" si="2"/>
        <v>101055.93139200001</v>
      </c>
    </row>
    <row r="46" spans="1:10" x14ac:dyDescent="0.25">
      <c r="B46" s="2" t="s">
        <v>38</v>
      </c>
      <c r="D46" s="28">
        <f>[1]Proposal!F16</f>
        <v>18230</v>
      </c>
      <c r="F46" s="28">
        <f>[1]Proposal!H16+H46</f>
        <v>28447.003500000003</v>
      </c>
      <c r="H46" s="28">
        <f>[1]Proposal!J16/2</f>
        <v>9670.1035000000011</v>
      </c>
      <c r="J46" s="31">
        <f t="shared" si="2"/>
        <v>56347.107000000004</v>
      </c>
    </row>
    <row r="47" spans="1:10" x14ac:dyDescent="0.25">
      <c r="B47" s="2" t="s">
        <v>39</v>
      </c>
      <c r="D47" s="28">
        <f>[1]Proposal!F17</f>
        <v>4775</v>
      </c>
      <c r="F47" s="28">
        <f>[1]Proposal!H17+H47</f>
        <v>7451.1487500000003</v>
      </c>
      <c r="H47" s="28">
        <f>[1]Proposal!J17/2</f>
        <v>2532.8987500000003</v>
      </c>
      <c r="J47" s="31">
        <f t="shared" si="2"/>
        <v>14759.047500000001</v>
      </c>
    </row>
    <row r="48" spans="1:10" x14ac:dyDescent="0.25">
      <c r="B48" s="2" t="s">
        <v>29</v>
      </c>
      <c r="D48" s="28">
        <f>D26</f>
        <v>2757.3333333333335</v>
      </c>
      <c r="F48" s="28">
        <f>F26</f>
        <v>0</v>
      </c>
      <c r="H48" s="28">
        <f>H26</f>
        <v>0</v>
      </c>
      <c r="J48" s="31">
        <f t="shared" si="2"/>
        <v>2757.3333333333335</v>
      </c>
    </row>
    <row r="49" spans="1:15" x14ac:dyDescent="0.25">
      <c r="B49" s="2" t="s">
        <v>30</v>
      </c>
      <c r="D49" s="28">
        <f>D27</f>
        <v>6083.333333333333</v>
      </c>
      <c r="F49" s="28">
        <f>F27</f>
        <v>9116.6666666666661</v>
      </c>
      <c r="H49" s="28">
        <f>H27</f>
        <v>4566.666666666667</v>
      </c>
      <c r="J49" s="31">
        <f t="shared" si="2"/>
        <v>19766.666666666668</v>
      </c>
    </row>
    <row r="50" spans="1:15" s="17" customFormat="1" x14ac:dyDescent="0.25">
      <c r="A50" s="13"/>
      <c r="B50" s="44" t="s">
        <v>8</v>
      </c>
      <c r="C50" s="45"/>
      <c r="D50" s="46">
        <f>SUM(D43:D49)</f>
        <v>163671.38666666669</v>
      </c>
      <c r="E50" s="47"/>
      <c r="F50" s="46">
        <f>SUM(F43:F49)</f>
        <v>248887.25415933333</v>
      </c>
      <c r="G50" s="47"/>
      <c r="H50" s="46">
        <f>SUM(H43:H49)</f>
        <v>88061.01829266666</v>
      </c>
      <c r="I50" s="47"/>
      <c r="J50" s="46">
        <f>SUM(J43:J49)</f>
        <v>500619.65911866666</v>
      </c>
    </row>
    <row r="51" spans="1:15" x14ac:dyDescent="0.25">
      <c r="B51" s="50"/>
      <c r="C51" s="3"/>
      <c r="D51" s="51"/>
      <c r="F51" s="51"/>
      <c r="H51" s="51"/>
      <c r="J51" s="31"/>
    </row>
    <row r="52" spans="1:15" x14ac:dyDescent="0.25">
      <c r="A52" s="32" t="s">
        <v>40</v>
      </c>
      <c r="B52" s="33"/>
      <c r="G52" s="35" t="s">
        <v>41</v>
      </c>
    </row>
    <row r="53" spans="1:15" x14ac:dyDescent="0.25">
      <c r="A53" s="1" t="s">
        <v>13</v>
      </c>
      <c r="B53" s="2" t="s">
        <v>11</v>
      </c>
      <c r="C53" s="36">
        <f>$C$6/5</f>
        <v>0.1</v>
      </c>
      <c r="D53" s="28">
        <f>$D$6/5</f>
        <v>17147</v>
      </c>
      <c r="E53" s="37">
        <f>$E$6/6</f>
        <v>8.3333333333333329E-2</v>
      </c>
      <c r="F53" s="28">
        <f>$F$6/6</f>
        <v>22588.314666666662</v>
      </c>
      <c r="G53" s="37"/>
      <c r="H53" s="28"/>
      <c r="J53" s="31">
        <f>D53+F53+H53</f>
        <v>39735.314666666658</v>
      </c>
    </row>
    <row r="54" spans="1:15" x14ac:dyDescent="0.25">
      <c r="A54" s="49" t="s">
        <v>42</v>
      </c>
      <c r="B54" s="50" t="s">
        <v>43</v>
      </c>
      <c r="C54" s="52">
        <v>0.05</v>
      </c>
      <c r="D54" s="28">
        <v>0</v>
      </c>
      <c r="E54" s="53">
        <v>2.5000000000000001E-2</v>
      </c>
      <c r="F54" s="28">
        <v>0</v>
      </c>
      <c r="G54" s="53"/>
      <c r="H54" s="28"/>
      <c r="J54" s="31">
        <f>D54+F54+H54</f>
        <v>0</v>
      </c>
    </row>
    <row r="55" spans="1:15" x14ac:dyDescent="0.25">
      <c r="A55" s="49" t="s">
        <v>22</v>
      </c>
      <c r="B55" s="50" t="s">
        <v>44</v>
      </c>
      <c r="C55" s="52">
        <v>0.7</v>
      </c>
      <c r="D55" s="28">
        <f>[1]Proposal!F27*1.2</f>
        <v>53333.279999999999</v>
      </c>
      <c r="E55" s="54">
        <v>0.35</v>
      </c>
      <c r="F55" s="28">
        <f>D55*1.5/2</f>
        <v>39999.96</v>
      </c>
      <c r="G55" s="54"/>
      <c r="H55" s="28"/>
      <c r="J55" s="31">
        <f>D55+F55+H55</f>
        <v>93333.239999999991</v>
      </c>
    </row>
    <row r="56" spans="1:15" x14ac:dyDescent="0.25">
      <c r="A56" s="49" t="s">
        <v>22</v>
      </c>
      <c r="B56" s="50" t="s">
        <v>25</v>
      </c>
      <c r="C56" s="52">
        <v>0.7</v>
      </c>
      <c r="D56" s="28">
        <f>[1]Proposal!F28*1.2</f>
        <v>53333.1996</v>
      </c>
      <c r="E56" s="54">
        <v>0.35</v>
      </c>
      <c r="F56" s="28">
        <f>D56*1.5/2</f>
        <v>39999.899700000002</v>
      </c>
      <c r="G56" s="54"/>
      <c r="H56" s="28"/>
      <c r="J56" s="31">
        <f>D56+F56+H56</f>
        <v>93333.099300000002</v>
      </c>
    </row>
    <row r="57" spans="1:15" x14ac:dyDescent="0.25">
      <c r="A57" s="49" t="s">
        <v>22</v>
      </c>
      <c r="B57" s="50" t="s">
        <v>25</v>
      </c>
      <c r="C57" s="52">
        <v>0.7</v>
      </c>
      <c r="D57" s="28">
        <f>[1]Proposal!F29*1.2</f>
        <v>53333.1996</v>
      </c>
      <c r="E57" s="54">
        <v>0.35</v>
      </c>
      <c r="F57" s="28">
        <f>D57*1.5/2</f>
        <v>39999.899700000002</v>
      </c>
      <c r="G57" s="54"/>
      <c r="H57" s="28"/>
      <c r="J57" s="31">
        <f>D57+F57+H57</f>
        <v>93333.099300000002</v>
      </c>
    </row>
    <row r="58" spans="1:15" s="17" customFormat="1" x14ac:dyDescent="0.25">
      <c r="A58" s="13"/>
      <c r="B58" s="44" t="s">
        <v>8</v>
      </c>
      <c r="C58" s="45"/>
      <c r="D58" s="46">
        <f>SUM(D53:D57)</f>
        <v>177146.67919999998</v>
      </c>
      <c r="E58" s="47"/>
      <c r="F58" s="46">
        <f>SUM(F53:F57)</f>
        <v>142588.07406666668</v>
      </c>
      <c r="G58" s="47"/>
      <c r="H58" s="46">
        <f>SUM(H51:H57)</f>
        <v>0</v>
      </c>
      <c r="I58" s="47"/>
      <c r="J58" s="46">
        <f>SUM(J53:J57)</f>
        <v>319734.75326666667</v>
      </c>
    </row>
    <row r="59" spans="1:15" x14ac:dyDescent="0.25">
      <c r="H59" s="28"/>
      <c r="J59" s="31"/>
    </row>
    <row r="61" spans="1:15" x14ac:dyDescent="0.25">
      <c r="A61" s="32" t="s">
        <v>45</v>
      </c>
      <c r="B61" s="33"/>
      <c r="E61" s="35" t="s">
        <v>46</v>
      </c>
    </row>
    <row r="62" spans="1:15" x14ac:dyDescent="0.25">
      <c r="A62" s="1" t="s">
        <v>13</v>
      </c>
      <c r="B62" s="2" t="s">
        <v>11</v>
      </c>
      <c r="C62" s="36"/>
      <c r="E62" s="37">
        <f>$E$6/6</f>
        <v>8.3333333333333329E-2</v>
      </c>
      <c r="F62" s="28">
        <f>$F$6/6</f>
        <v>22588.314666666662</v>
      </c>
      <c r="G62" s="37">
        <f>$G$6/5</f>
        <v>0.1</v>
      </c>
      <c r="H62" s="28">
        <f>$H$6/5</f>
        <v>9273.0975999999991</v>
      </c>
      <c r="J62" s="31">
        <f>D62+F62+H62</f>
        <v>31861.412266666659</v>
      </c>
    </row>
    <row r="63" spans="1:15" x14ac:dyDescent="0.25">
      <c r="A63" s="49" t="s">
        <v>42</v>
      </c>
      <c r="B63" s="50" t="s">
        <v>43</v>
      </c>
      <c r="C63" s="55"/>
      <c r="E63" s="53">
        <v>2.5000000000000001E-2</v>
      </c>
      <c r="F63" s="28">
        <v>0</v>
      </c>
      <c r="G63" s="54">
        <v>0.05</v>
      </c>
      <c r="H63" s="28">
        <v>0</v>
      </c>
      <c r="J63" s="31">
        <f>D63+F63+H63</f>
        <v>0</v>
      </c>
    </row>
    <row r="64" spans="1:15" x14ac:dyDescent="0.25">
      <c r="A64" s="49" t="s">
        <v>22</v>
      </c>
      <c r="B64" s="50" t="s">
        <v>44</v>
      </c>
      <c r="C64" s="52"/>
      <c r="E64" s="54">
        <v>0.35</v>
      </c>
      <c r="F64" s="28">
        <f>F55</f>
        <v>39999.96</v>
      </c>
      <c r="G64" s="54">
        <v>0.7</v>
      </c>
      <c r="H64" s="28">
        <f>D55/2</f>
        <v>26666.639999999999</v>
      </c>
      <c r="J64" s="31">
        <f>D64+F64+H64</f>
        <v>66666.600000000006</v>
      </c>
      <c r="N64" s="56"/>
      <c r="O64" s="56"/>
    </row>
    <row r="65" spans="1:15" x14ac:dyDescent="0.25">
      <c r="A65" s="49" t="s">
        <v>22</v>
      </c>
      <c r="B65" s="50" t="s">
        <v>25</v>
      </c>
      <c r="C65" s="52"/>
      <c r="E65" s="54">
        <v>0.35</v>
      </c>
      <c r="F65" s="28">
        <f>F56</f>
        <v>39999.899700000002</v>
      </c>
      <c r="G65" s="54">
        <v>0.7</v>
      </c>
      <c r="H65" s="28">
        <f>D56/2</f>
        <v>26666.5998</v>
      </c>
      <c r="J65" s="31">
        <f>D65+F65+H65</f>
        <v>66666.499500000005</v>
      </c>
      <c r="N65" s="3"/>
      <c r="O65" s="3"/>
    </row>
    <row r="66" spans="1:15" x14ac:dyDescent="0.25">
      <c r="A66" s="49" t="s">
        <v>22</v>
      </c>
      <c r="B66" s="50" t="s">
        <v>25</v>
      </c>
      <c r="C66" s="52"/>
      <c r="E66" s="54">
        <v>0.35</v>
      </c>
      <c r="F66" s="28">
        <f>F57</f>
        <v>39999.899700000002</v>
      </c>
      <c r="G66" s="54">
        <v>0.7</v>
      </c>
      <c r="H66" s="28">
        <f>D57/2</f>
        <v>26666.5998</v>
      </c>
      <c r="J66" s="31">
        <f>D66+F66+H66</f>
        <v>66666.499500000005</v>
      </c>
      <c r="N66" s="3"/>
      <c r="O66" s="3"/>
    </row>
    <row r="67" spans="1:15" s="17" customFormat="1" x14ac:dyDescent="0.25">
      <c r="A67" s="13"/>
      <c r="B67" s="44" t="s">
        <v>8</v>
      </c>
      <c r="C67" s="45"/>
      <c r="D67" s="46">
        <f>SUM(D62:D66)</f>
        <v>0</v>
      </c>
      <c r="E67" s="47"/>
      <c r="F67" s="46">
        <f>SUM(F62:F66)</f>
        <v>142588.07406666668</v>
      </c>
      <c r="G67" s="47"/>
      <c r="H67" s="46">
        <f>SUM(H62:H66)</f>
        <v>89272.9372</v>
      </c>
      <c r="I67" s="47"/>
      <c r="J67" s="46">
        <f>SUM(J62:J66)</f>
        <v>231861.01126666667</v>
      </c>
    </row>
    <row r="69" spans="1:15" s="58" customFormat="1" ht="18.75" x14ac:dyDescent="0.3">
      <c r="A69" s="57"/>
      <c r="C69" s="59" t="s">
        <v>47</v>
      </c>
      <c r="D69" s="60">
        <f>D16+D33+D40+D50+D58+D67</f>
        <v>1255890.9273999999</v>
      </c>
      <c r="E69" s="61"/>
      <c r="F69" s="60">
        <f>F16+F33+F40+F50+F58+F67</f>
        <v>1343230.0177859999</v>
      </c>
      <c r="G69" s="61"/>
      <c r="H69" s="60">
        <f>H16+H33+H40+H50+H58+H67</f>
        <v>371987.77378599998</v>
      </c>
      <c r="I69" s="61"/>
      <c r="J69" s="60">
        <f>J16+J33+J40+J50+J58+J67</f>
        <v>2980381.8165719998</v>
      </c>
    </row>
  </sheetData>
  <mergeCells count="8">
    <mergeCell ref="A2:J2"/>
    <mergeCell ref="C3:D3"/>
    <mergeCell ref="E3:F3"/>
    <mergeCell ref="G3:H3"/>
    <mergeCell ref="C4:D4"/>
    <mergeCell ref="E4:F4"/>
    <mergeCell ref="G4:H4"/>
    <mergeCell ref="I4:J4"/>
  </mergeCells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Normal="100" workbookViewId="0"/>
  </sheetViews>
  <sheetFormatPr defaultRowHeight="15" x14ac:dyDescent="0.25"/>
  <cols>
    <col min="1" max="1" width="9.140625" style="7"/>
    <col min="2" max="2" width="9.140625" style="34"/>
    <col min="3" max="3" width="10.42578125" style="7" bestFit="1" customWidth="1"/>
    <col min="4" max="7" width="9.85546875" style="7" bestFit="1" customWidth="1"/>
    <col min="8" max="8" width="10.42578125" style="7" bestFit="1" customWidth="1"/>
    <col min="9" max="12" width="9.85546875" style="7" bestFit="1" customWidth="1"/>
    <col min="13" max="13" width="10" style="7" bestFit="1" customWidth="1"/>
    <col min="14" max="14" width="9.85546875" style="7" bestFit="1" customWidth="1"/>
    <col min="15" max="15" width="11.5703125" style="17" bestFit="1" customWidth="1"/>
    <col min="16" max="38" width="7.85546875" style="7" bestFit="1" customWidth="1"/>
    <col min="39" max="16384" width="9.140625" style="7"/>
  </cols>
  <sheetData>
    <row r="1" spans="1:15" ht="15.75" x14ac:dyDescent="0.25">
      <c r="A1" s="1" t="s">
        <v>48</v>
      </c>
      <c r="C1" s="3"/>
      <c r="D1" s="4"/>
      <c r="E1" s="5"/>
      <c r="F1" s="4"/>
      <c r="G1" s="5"/>
      <c r="H1" s="5"/>
      <c r="I1" s="6"/>
      <c r="J1" s="6"/>
    </row>
    <row r="2" spans="1:15" ht="22.5" x14ac:dyDescent="0.3">
      <c r="A2" s="8" t="s">
        <v>49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ht="12.75" customHeight="1" x14ac:dyDescent="0.3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5" s="12" customFormat="1" ht="18.75" x14ac:dyDescent="0.3">
      <c r="A4" s="9"/>
      <c r="B4" s="63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58"/>
    </row>
    <row r="5" spans="1:15" s="64" customFormat="1" x14ac:dyDescent="0.25">
      <c r="C5" s="65">
        <v>40452</v>
      </c>
      <c r="D5" s="65">
        <v>40483</v>
      </c>
      <c r="E5" s="65">
        <v>40513</v>
      </c>
      <c r="F5" s="65">
        <v>40544</v>
      </c>
      <c r="G5" s="65">
        <v>40575</v>
      </c>
      <c r="H5" s="65">
        <v>40603</v>
      </c>
      <c r="I5" s="65">
        <v>40634</v>
      </c>
      <c r="J5" s="65">
        <v>40664</v>
      </c>
      <c r="K5" s="65">
        <v>40695</v>
      </c>
      <c r="L5" s="65">
        <v>40725</v>
      </c>
      <c r="M5" s="65">
        <v>40756</v>
      </c>
      <c r="N5" s="65">
        <v>40787</v>
      </c>
      <c r="O5" s="66" t="s">
        <v>8</v>
      </c>
    </row>
    <row r="6" spans="1:15" x14ac:dyDescent="0.25">
      <c r="B6" s="34" t="s">
        <v>50</v>
      </c>
      <c r="C6" s="67">
        <f>258573/12</f>
        <v>21547.75</v>
      </c>
      <c r="D6" s="67">
        <f t="shared" ref="D6:N6" si="0">258573/12</f>
        <v>21547.75</v>
      </c>
      <c r="E6" s="67">
        <f t="shared" si="0"/>
        <v>21547.75</v>
      </c>
      <c r="F6" s="67">
        <f t="shared" si="0"/>
        <v>21547.75</v>
      </c>
      <c r="G6" s="67">
        <f t="shared" si="0"/>
        <v>21547.75</v>
      </c>
      <c r="H6" s="67">
        <f t="shared" si="0"/>
        <v>21547.75</v>
      </c>
      <c r="I6" s="67">
        <f t="shared" si="0"/>
        <v>21547.75</v>
      </c>
      <c r="J6" s="67">
        <f t="shared" si="0"/>
        <v>21547.75</v>
      </c>
      <c r="K6" s="67">
        <f t="shared" si="0"/>
        <v>21547.75</v>
      </c>
      <c r="L6" s="67">
        <f t="shared" si="0"/>
        <v>21547.75</v>
      </c>
      <c r="M6" s="67">
        <f t="shared" si="0"/>
        <v>21547.75</v>
      </c>
      <c r="N6" s="67">
        <f t="shared" si="0"/>
        <v>21547.75</v>
      </c>
      <c r="O6" s="68">
        <f>SUM(C6:N6)</f>
        <v>258573</v>
      </c>
    </row>
    <row r="7" spans="1:15" ht="8.25" customHeight="1" x14ac:dyDescent="0.25"/>
    <row r="8" spans="1:15" x14ac:dyDescent="0.25">
      <c r="B8" s="34" t="s">
        <v>51</v>
      </c>
      <c r="C8" s="67">
        <f>421494/12</f>
        <v>35124.5</v>
      </c>
      <c r="D8" s="67">
        <f t="shared" ref="D8:N8" si="1">421494/12</f>
        <v>35124.5</v>
      </c>
      <c r="E8" s="67">
        <f t="shared" si="1"/>
        <v>35124.5</v>
      </c>
      <c r="F8" s="67">
        <f t="shared" si="1"/>
        <v>35124.5</v>
      </c>
      <c r="G8" s="67">
        <f t="shared" si="1"/>
        <v>35124.5</v>
      </c>
      <c r="H8" s="67">
        <f t="shared" si="1"/>
        <v>35124.5</v>
      </c>
      <c r="I8" s="67">
        <f t="shared" si="1"/>
        <v>35124.5</v>
      </c>
      <c r="J8" s="67">
        <f t="shared" si="1"/>
        <v>35124.5</v>
      </c>
      <c r="K8" s="67">
        <f t="shared" si="1"/>
        <v>35124.5</v>
      </c>
      <c r="L8" s="67">
        <f t="shared" si="1"/>
        <v>35124.5</v>
      </c>
      <c r="M8" s="67">
        <f t="shared" si="1"/>
        <v>35124.5</v>
      </c>
      <c r="N8" s="67">
        <f t="shared" si="1"/>
        <v>35124.5</v>
      </c>
      <c r="O8" s="68">
        <f>SUM(C8:N8)</f>
        <v>421494</v>
      </c>
    </row>
    <row r="9" spans="1:15" ht="8.25" customHeight="1" x14ac:dyDescent="0.25"/>
    <row r="10" spans="1:15" x14ac:dyDescent="0.25">
      <c r="B10" s="34" t="s">
        <v>30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9100</v>
      </c>
      <c r="I10" s="67">
        <v>0</v>
      </c>
      <c r="J10" s="67">
        <v>0</v>
      </c>
      <c r="K10" s="67">
        <v>0</v>
      </c>
      <c r="L10" s="67">
        <v>0</v>
      </c>
      <c r="M10" s="67">
        <v>9150</v>
      </c>
      <c r="N10" s="67">
        <v>0</v>
      </c>
      <c r="O10" s="68">
        <f>SUM(C10:N10)</f>
        <v>18250</v>
      </c>
    </row>
    <row r="11" spans="1:15" ht="8.25" customHeight="1" x14ac:dyDescent="0.25"/>
    <row r="12" spans="1:15" x14ac:dyDescent="0.25">
      <c r="B12" s="34" t="s">
        <v>52</v>
      </c>
      <c r="C12" s="67">
        <f>193203.33/12</f>
        <v>16100.277499999998</v>
      </c>
      <c r="D12" s="67">
        <f t="shared" ref="D12:N12" si="2">193203.33/12</f>
        <v>16100.277499999998</v>
      </c>
      <c r="E12" s="67">
        <f t="shared" si="2"/>
        <v>16100.277499999998</v>
      </c>
      <c r="F12" s="67">
        <f t="shared" si="2"/>
        <v>16100.277499999998</v>
      </c>
      <c r="G12" s="67">
        <f t="shared" si="2"/>
        <v>16100.277499999998</v>
      </c>
      <c r="H12" s="67">
        <f t="shared" si="2"/>
        <v>16100.277499999998</v>
      </c>
      <c r="I12" s="67">
        <f t="shared" si="2"/>
        <v>16100.277499999998</v>
      </c>
      <c r="J12" s="67">
        <f t="shared" si="2"/>
        <v>16100.277499999998</v>
      </c>
      <c r="K12" s="67">
        <f t="shared" si="2"/>
        <v>16100.277499999998</v>
      </c>
      <c r="L12" s="67">
        <f t="shared" si="2"/>
        <v>16100.277499999998</v>
      </c>
      <c r="M12" s="67">
        <f t="shared" si="2"/>
        <v>16100.277499999998</v>
      </c>
      <c r="N12" s="67">
        <f t="shared" si="2"/>
        <v>16100.277499999998</v>
      </c>
      <c r="O12" s="68">
        <f>SUM(C12:N12)</f>
        <v>193203.33</v>
      </c>
    </row>
    <row r="13" spans="1:15" ht="8.25" customHeight="1" x14ac:dyDescent="0.25"/>
    <row r="14" spans="1:15" x14ac:dyDescent="0.25">
      <c r="B14" s="34" t="s">
        <v>53</v>
      </c>
      <c r="C14" s="67">
        <v>347500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8">
        <f>SUM(C14:N14)</f>
        <v>347500</v>
      </c>
    </row>
    <row r="15" spans="1:15" ht="8.25" customHeight="1" x14ac:dyDescent="0.25"/>
    <row r="16" spans="1:15" x14ac:dyDescent="0.25">
      <c r="B16" s="34" t="s">
        <v>54</v>
      </c>
      <c r="C16" s="67">
        <v>8272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8">
        <f>SUM(C16:N16)</f>
        <v>8272</v>
      </c>
    </row>
    <row r="17" spans="2:20" ht="8.25" customHeight="1" x14ac:dyDescent="0.25"/>
    <row r="18" spans="2:20" x14ac:dyDescent="0.25">
      <c r="B18" s="70" t="s">
        <v>55</v>
      </c>
      <c r="C18" s="71">
        <f>479450/12</f>
        <v>39954.166666666664</v>
      </c>
      <c r="D18" s="71">
        <f t="shared" ref="D18:N18" si="3">479450/12</f>
        <v>39954.166666666664</v>
      </c>
      <c r="E18" s="71">
        <f t="shared" si="3"/>
        <v>39954.166666666664</v>
      </c>
      <c r="F18" s="71">
        <f t="shared" si="3"/>
        <v>39954.166666666664</v>
      </c>
      <c r="G18" s="71">
        <f t="shared" si="3"/>
        <v>39954.166666666664</v>
      </c>
      <c r="H18" s="71">
        <f t="shared" si="3"/>
        <v>39954.166666666664</v>
      </c>
      <c r="I18" s="71">
        <f t="shared" si="3"/>
        <v>39954.166666666664</v>
      </c>
      <c r="J18" s="71">
        <f t="shared" si="3"/>
        <v>39954.166666666664</v>
      </c>
      <c r="K18" s="71">
        <f t="shared" si="3"/>
        <v>39954.166666666664</v>
      </c>
      <c r="L18" s="71">
        <f t="shared" si="3"/>
        <v>39954.166666666664</v>
      </c>
      <c r="M18" s="71">
        <f t="shared" si="3"/>
        <v>39954.166666666664</v>
      </c>
      <c r="N18" s="71">
        <f t="shared" si="3"/>
        <v>39954.166666666664</v>
      </c>
      <c r="O18" s="68">
        <f>SUM(C18:N18)</f>
        <v>479450.00000000006</v>
      </c>
    </row>
    <row r="19" spans="2:20" s="17" customFormat="1" thickBot="1" x14ac:dyDescent="0.25">
      <c r="B19" s="72" t="s">
        <v>8</v>
      </c>
      <c r="C19" s="73">
        <f>SUM(C6:C18)</f>
        <v>468498.69416666665</v>
      </c>
      <c r="D19" s="73">
        <f t="shared" ref="D19:N19" si="4">SUM(D6:D18)</f>
        <v>112726.69416666665</v>
      </c>
      <c r="E19" s="73">
        <f t="shared" si="4"/>
        <v>112726.69416666665</v>
      </c>
      <c r="F19" s="73">
        <f t="shared" si="4"/>
        <v>112726.69416666665</v>
      </c>
      <c r="G19" s="73">
        <f t="shared" si="4"/>
        <v>112726.69416666665</v>
      </c>
      <c r="H19" s="73">
        <f t="shared" si="4"/>
        <v>121826.69416666665</v>
      </c>
      <c r="I19" s="73">
        <f t="shared" si="4"/>
        <v>112726.69416666665</v>
      </c>
      <c r="J19" s="73">
        <f t="shared" si="4"/>
        <v>112726.69416666665</v>
      </c>
      <c r="K19" s="73">
        <f t="shared" si="4"/>
        <v>112726.69416666665</v>
      </c>
      <c r="L19" s="73">
        <f t="shared" si="4"/>
        <v>112726.69416666665</v>
      </c>
      <c r="M19" s="73">
        <f t="shared" si="4"/>
        <v>121876.69416666665</v>
      </c>
      <c r="N19" s="73">
        <f t="shared" si="4"/>
        <v>112726.69416666665</v>
      </c>
      <c r="O19" s="74">
        <f>SUM(C19:N19)</f>
        <v>1726742.3299999994</v>
      </c>
    </row>
    <row r="20" spans="2:20" ht="15.75" thickTop="1" x14ac:dyDescent="0.25"/>
    <row r="21" spans="2:20" ht="18.75" x14ac:dyDescent="0.3">
      <c r="C21" s="10" t="s">
        <v>3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75"/>
      <c r="P21" s="75"/>
      <c r="Q21" s="75"/>
      <c r="R21" s="75"/>
      <c r="S21" s="75"/>
      <c r="T21" s="75"/>
    </row>
    <row r="22" spans="2:20" s="64" customFormat="1" x14ac:dyDescent="0.25">
      <c r="C22" s="65">
        <v>40817</v>
      </c>
      <c r="D22" s="65">
        <v>40848</v>
      </c>
      <c r="E22" s="65">
        <v>40878</v>
      </c>
      <c r="F22" s="65">
        <v>40909</v>
      </c>
      <c r="G22" s="65">
        <v>40940</v>
      </c>
      <c r="H22" s="65">
        <v>40969</v>
      </c>
      <c r="I22" s="65">
        <v>41000</v>
      </c>
      <c r="J22" s="65">
        <v>41030</v>
      </c>
      <c r="K22" s="65">
        <v>41061</v>
      </c>
      <c r="L22" s="65">
        <v>41091</v>
      </c>
      <c r="M22" s="65">
        <v>41122</v>
      </c>
      <c r="N22" s="65">
        <v>41153</v>
      </c>
      <c r="O22" s="66" t="s">
        <v>8</v>
      </c>
    </row>
    <row r="23" spans="2:20" x14ac:dyDescent="0.25">
      <c r="B23" s="34" t="s">
        <v>50</v>
      </c>
      <c r="C23" s="67">
        <f>268916/12</f>
        <v>22409.666666666668</v>
      </c>
      <c r="D23" s="67">
        <f t="shared" ref="D23:N23" si="5">268916/12</f>
        <v>22409.666666666668</v>
      </c>
      <c r="E23" s="67">
        <f t="shared" si="5"/>
        <v>22409.666666666668</v>
      </c>
      <c r="F23" s="67">
        <f t="shared" si="5"/>
        <v>22409.666666666668</v>
      </c>
      <c r="G23" s="67">
        <f t="shared" si="5"/>
        <v>22409.666666666668</v>
      </c>
      <c r="H23" s="67">
        <f t="shared" si="5"/>
        <v>22409.666666666668</v>
      </c>
      <c r="I23" s="67">
        <f t="shared" si="5"/>
        <v>22409.666666666668</v>
      </c>
      <c r="J23" s="67">
        <f t="shared" si="5"/>
        <v>22409.666666666668</v>
      </c>
      <c r="K23" s="67">
        <f t="shared" si="5"/>
        <v>22409.666666666668</v>
      </c>
      <c r="L23" s="67">
        <f t="shared" si="5"/>
        <v>22409.666666666668</v>
      </c>
      <c r="M23" s="67">
        <f t="shared" si="5"/>
        <v>22409.666666666668</v>
      </c>
      <c r="N23" s="67">
        <f t="shared" si="5"/>
        <v>22409.666666666668</v>
      </c>
      <c r="O23" s="68">
        <f>SUM(C23:N23)</f>
        <v>268915.99999999994</v>
      </c>
    </row>
    <row r="24" spans="2:20" ht="7.5" customHeight="1" x14ac:dyDescent="0.25"/>
    <row r="25" spans="2:20" x14ac:dyDescent="0.25">
      <c r="B25" s="34" t="s">
        <v>51</v>
      </c>
      <c r="C25" s="67">
        <f>372120/12</f>
        <v>31010</v>
      </c>
      <c r="D25" s="67">
        <f t="shared" ref="D25:N25" si="6">372120/12</f>
        <v>31010</v>
      </c>
      <c r="E25" s="67">
        <f t="shared" si="6"/>
        <v>31010</v>
      </c>
      <c r="F25" s="67">
        <f t="shared" si="6"/>
        <v>31010</v>
      </c>
      <c r="G25" s="67">
        <f t="shared" si="6"/>
        <v>31010</v>
      </c>
      <c r="H25" s="67">
        <f t="shared" si="6"/>
        <v>31010</v>
      </c>
      <c r="I25" s="67">
        <f t="shared" si="6"/>
        <v>31010</v>
      </c>
      <c r="J25" s="67">
        <f t="shared" si="6"/>
        <v>31010</v>
      </c>
      <c r="K25" s="67">
        <f t="shared" si="6"/>
        <v>31010</v>
      </c>
      <c r="L25" s="67">
        <f t="shared" si="6"/>
        <v>31010</v>
      </c>
      <c r="M25" s="67">
        <f t="shared" si="6"/>
        <v>31010</v>
      </c>
      <c r="N25" s="67">
        <f t="shared" si="6"/>
        <v>31010</v>
      </c>
      <c r="O25" s="68">
        <f>SUM(C25:N25)</f>
        <v>372120</v>
      </c>
    </row>
    <row r="26" spans="2:20" ht="7.5" customHeight="1" x14ac:dyDescent="0.25"/>
    <row r="27" spans="2:20" x14ac:dyDescent="0.25">
      <c r="B27" s="34" t="s">
        <v>30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67">
        <v>18200</v>
      </c>
      <c r="I27" s="67">
        <v>0</v>
      </c>
      <c r="J27" s="67">
        <v>0</v>
      </c>
      <c r="K27" s="67">
        <v>0</v>
      </c>
      <c r="L27" s="67">
        <v>0</v>
      </c>
      <c r="M27" s="67">
        <v>9150</v>
      </c>
      <c r="N27" s="67">
        <v>0</v>
      </c>
      <c r="O27" s="68">
        <f>SUM(C27:N27)</f>
        <v>27350</v>
      </c>
    </row>
    <row r="28" spans="2:20" ht="7.5" customHeight="1" x14ac:dyDescent="0.25">
      <c r="C28" s="67"/>
      <c r="D28" s="67"/>
      <c r="E28" s="67"/>
      <c r="F28" s="67"/>
      <c r="G28" s="67"/>
      <c r="N28" s="67"/>
    </row>
    <row r="29" spans="2:20" x14ac:dyDescent="0.25">
      <c r="B29" s="34" t="s">
        <v>52</v>
      </c>
      <c r="C29" s="67">
        <f>142593.33/12</f>
        <v>11882.777499999998</v>
      </c>
      <c r="D29" s="67">
        <f t="shared" ref="D29:N29" si="7">142593.33/12</f>
        <v>11882.777499999998</v>
      </c>
      <c r="E29" s="67">
        <f t="shared" si="7"/>
        <v>11882.777499999998</v>
      </c>
      <c r="F29" s="67">
        <f t="shared" si="7"/>
        <v>11882.777499999998</v>
      </c>
      <c r="G29" s="67">
        <f t="shared" si="7"/>
        <v>11882.777499999998</v>
      </c>
      <c r="H29" s="67">
        <f t="shared" si="7"/>
        <v>11882.777499999998</v>
      </c>
      <c r="I29" s="67">
        <f t="shared" si="7"/>
        <v>11882.777499999998</v>
      </c>
      <c r="J29" s="67">
        <f t="shared" si="7"/>
        <v>11882.777499999998</v>
      </c>
      <c r="K29" s="67">
        <f t="shared" si="7"/>
        <v>11882.777499999998</v>
      </c>
      <c r="L29" s="67">
        <f t="shared" si="7"/>
        <v>11882.777499999998</v>
      </c>
      <c r="M29" s="67">
        <f t="shared" si="7"/>
        <v>11882.777499999998</v>
      </c>
      <c r="N29" s="67">
        <f t="shared" si="7"/>
        <v>11882.777499999998</v>
      </c>
      <c r="O29" s="68">
        <f>SUM(C29:N29)</f>
        <v>142593.32999999999</v>
      </c>
    </row>
    <row r="30" spans="2:20" ht="7.5" customHeight="1" x14ac:dyDescent="0.25"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2:20" x14ac:dyDescent="0.25">
      <c r="B31" s="34" t="s">
        <v>53</v>
      </c>
      <c r="C31" s="67">
        <v>0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8">
        <f>SUM(C31:N31)</f>
        <v>0</v>
      </c>
    </row>
    <row r="32" spans="2:20" ht="7.5" customHeight="1" x14ac:dyDescent="0.25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2:15" x14ac:dyDescent="0.25">
      <c r="B33" s="34" t="s">
        <v>54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8">
        <f>SUM(C33:N33)</f>
        <v>0</v>
      </c>
    </row>
    <row r="34" spans="2:15" ht="7.5" customHeight="1" x14ac:dyDescent="0.25"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2:15" x14ac:dyDescent="0.25">
      <c r="B35" s="70" t="s">
        <v>55</v>
      </c>
      <c r="C35" s="71">
        <f>479450/12</f>
        <v>39954.166666666664</v>
      </c>
      <c r="D35" s="71">
        <f t="shared" ref="D35:N35" si="8">479450/12</f>
        <v>39954.166666666664</v>
      </c>
      <c r="E35" s="71">
        <f t="shared" si="8"/>
        <v>39954.166666666664</v>
      </c>
      <c r="F35" s="71">
        <f t="shared" si="8"/>
        <v>39954.166666666664</v>
      </c>
      <c r="G35" s="71">
        <f t="shared" si="8"/>
        <v>39954.166666666664</v>
      </c>
      <c r="H35" s="71">
        <f t="shared" si="8"/>
        <v>39954.166666666664</v>
      </c>
      <c r="I35" s="71">
        <f t="shared" si="8"/>
        <v>39954.166666666664</v>
      </c>
      <c r="J35" s="71">
        <f t="shared" si="8"/>
        <v>39954.166666666664</v>
      </c>
      <c r="K35" s="71">
        <f t="shared" si="8"/>
        <v>39954.166666666664</v>
      </c>
      <c r="L35" s="71">
        <f t="shared" si="8"/>
        <v>39954.166666666664</v>
      </c>
      <c r="M35" s="71">
        <f t="shared" si="8"/>
        <v>39954.166666666664</v>
      </c>
      <c r="N35" s="71">
        <f t="shared" si="8"/>
        <v>39954.166666666664</v>
      </c>
      <c r="O35" s="68">
        <f>SUM(C35:N35)</f>
        <v>479450.00000000006</v>
      </c>
    </row>
    <row r="36" spans="2:15" s="17" customFormat="1" thickBot="1" x14ac:dyDescent="0.25">
      <c r="B36" s="72" t="s">
        <v>8</v>
      </c>
      <c r="C36" s="73">
        <f t="shared" ref="C36:N36" si="9">SUM(C23:C35)</f>
        <v>105256.61083333334</v>
      </c>
      <c r="D36" s="73">
        <f t="shared" si="9"/>
        <v>105256.61083333334</v>
      </c>
      <c r="E36" s="73">
        <f t="shared" si="9"/>
        <v>105256.61083333334</v>
      </c>
      <c r="F36" s="73">
        <f t="shared" si="9"/>
        <v>105256.61083333334</v>
      </c>
      <c r="G36" s="73">
        <f t="shared" si="9"/>
        <v>105256.61083333334</v>
      </c>
      <c r="H36" s="73">
        <f t="shared" si="9"/>
        <v>123456.61083333334</v>
      </c>
      <c r="I36" s="73">
        <f t="shared" si="9"/>
        <v>105256.61083333334</v>
      </c>
      <c r="J36" s="73">
        <f t="shared" si="9"/>
        <v>105256.61083333334</v>
      </c>
      <c r="K36" s="73">
        <f t="shared" si="9"/>
        <v>105256.61083333334</v>
      </c>
      <c r="L36" s="73">
        <f t="shared" si="9"/>
        <v>105256.61083333334</v>
      </c>
      <c r="M36" s="73">
        <f t="shared" si="9"/>
        <v>114406.61083333334</v>
      </c>
      <c r="N36" s="73">
        <f t="shared" si="9"/>
        <v>105256.61083333334</v>
      </c>
      <c r="O36" s="74">
        <f>SUM(C36:N36)</f>
        <v>1290429.33</v>
      </c>
    </row>
    <row r="37" spans="2:15" s="17" customFormat="1" thickTop="1" x14ac:dyDescent="0.2"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2:15" ht="18.75" x14ac:dyDescent="0.3">
      <c r="C38" s="78" t="s">
        <v>56</v>
      </c>
      <c r="D38" s="78"/>
      <c r="E38" s="78"/>
      <c r="F38" s="78"/>
      <c r="G38" s="78"/>
      <c r="H38" s="78"/>
      <c r="I38" s="79" t="s">
        <v>4</v>
      </c>
      <c r="J38" s="10"/>
      <c r="K38" s="10"/>
      <c r="L38" s="10"/>
      <c r="M38" s="10"/>
      <c r="N38" s="10"/>
    </row>
    <row r="39" spans="2:15" s="64" customFormat="1" x14ac:dyDescent="0.25">
      <c r="C39" s="65">
        <v>41183</v>
      </c>
      <c r="D39" s="65">
        <v>41214</v>
      </c>
      <c r="E39" s="65">
        <v>41244</v>
      </c>
      <c r="F39" s="65">
        <v>41275</v>
      </c>
      <c r="G39" s="65">
        <v>41306</v>
      </c>
      <c r="H39" s="65">
        <v>41334</v>
      </c>
      <c r="I39" s="80">
        <v>41365</v>
      </c>
      <c r="J39" s="81">
        <v>41395</v>
      </c>
      <c r="K39" s="81">
        <v>41426</v>
      </c>
      <c r="L39" s="81">
        <v>41456</v>
      </c>
      <c r="M39" s="81">
        <v>41487</v>
      </c>
      <c r="N39" s="81">
        <v>41518</v>
      </c>
      <c r="O39" s="66" t="s">
        <v>8</v>
      </c>
    </row>
    <row r="40" spans="2:15" x14ac:dyDescent="0.25">
      <c r="B40" s="34" t="s">
        <v>50</v>
      </c>
      <c r="C40" s="67">
        <f>279673/12</f>
        <v>23306.083333333332</v>
      </c>
      <c r="D40" s="67">
        <f t="shared" ref="D40:N40" si="10">279673/12</f>
        <v>23306.083333333332</v>
      </c>
      <c r="E40" s="67">
        <f t="shared" si="10"/>
        <v>23306.083333333332</v>
      </c>
      <c r="F40" s="67">
        <f t="shared" si="10"/>
        <v>23306.083333333332</v>
      </c>
      <c r="G40" s="67">
        <f t="shared" si="10"/>
        <v>23306.083333333332</v>
      </c>
      <c r="H40" s="67">
        <f t="shared" si="10"/>
        <v>23306.083333333332</v>
      </c>
      <c r="I40" s="82">
        <f t="shared" si="10"/>
        <v>23306.083333333332</v>
      </c>
      <c r="J40" s="83">
        <f t="shared" si="10"/>
        <v>23306.083333333332</v>
      </c>
      <c r="K40" s="83">
        <f t="shared" si="10"/>
        <v>23306.083333333332</v>
      </c>
      <c r="L40" s="83">
        <f t="shared" si="10"/>
        <v>23306.083333333332</v>
      </c>
      <c r="M40" s="83">
        <f t="shared" si="10"/>
        <v>23306.083333333332</v>
      </c>
      <c r="N40" s="83">
        <f t="shared" si="10"/>
        <v>23306.083333333332</v>
      </c>
      <c r="O40" s="68">
        <f>SUM(C40:N40)</f>
        <v>279673.00000000006</v>
      </c>
    </row>
    <row r="41" spans="2:15" ht="7.5" customHeight="1" x14ac:dyDescent="0.25">
      <c r="I41" s="84"/>
      <c r="J41" s="5"/>
      <c r="K41" s="5"/>
      <c r="L41" s="5"/>
      <c r="M41" s="5"/>
      <c r="N41" s="5"/>
    </row>
    <row r="42" spans="2:15" x14ac:dyDescent="0.25">
      <c r="B42" s="34" t="s">
        <v>51</v>
      </c>
      <c r="C42" s="67">
        <f>359555/12</f>
        <v>29962.916666666668</v>
      </c>
      <c r="D42" s="67">
        <f t="shared" ref="D42:N42" si="11">359555/12</f>
        <v>29962.916666666668</v>
      </c>
      <c r="E42" s="67">
        <f t="shared" si="11"/>
        <v>29962.916666666668</v>
      </c>
      <c r="F42" s="67">
        <f t="shared" si="11"/>
        <v>29962.916666666668</v>
      </c>
      <c r="G42" s="67">
        <f t="shared" si="11"/>
        <v>29962.916666666668</v>
      </c>
      <c r="H42" s="67">
        <f t="shared" si="11"/>
        <v>29962.916666666668</v>
      </c>
      <c r="I42" s="82">
        <f t="shared" si="11"/>
        <v>29962.916666666668</v>
      </c>
      <c r="J42" s="83">
        <f t="shared" si="11"/>
        <v>29962.916666666668</v>
      </c>
      <c r="K42" s="83">
        <f t="shared" si="11"/>
        <v>29962.916666666668</v>
      </c>
      <c r="L42" s="83">
        <f t="shared" si="11"/>
        <v>29962.916666666668</v>
      </c>
      <c r="M42" s="83">
        <f t="shared" si="11"/>
        <v>29962.916666666668</v>
      </c>
      <c r="N42" s="83">
        <f t="shared" si="11"/>
        <v>29962.916666666668</v>
      </c>
      <c r="O42" s="68">
        <f>SUM(C42:N42)</f>
        <v>359555.00000000006</v>
      </c>
    </row>
    <row r="43" spans="2:15" ht="7.5" customHeight="1" x14ac:dyDescent="0.25">
      <c r="I43" s="84"/>
      <c r="J43" s="5"/>
      <c r="K43" s="5"/>
      <c r="L43" s="5"/>
      <c r="M43" s="5"/>
      <c r="N43" s="5"/>
    </row>
    <row r="44" spans="2:15" x14ac:dyDescent="0.25">
      <c r="B44" s="34" t="s">
        <v>30</v>
      </c>
      <c r="C44" s="67">
        <v>0</v>
      </c>
      <c r="D44" s="67">
        <v>0</v>
      </c>
      <c r="E44" s="67">
        <v>0</v>
      </c>
      <c r="F44" s="67">
        <v>0</v>
      </c>
      <c r="G44" s="67">
        <v>0</v>
      </c>
      <c r="H44" s="67">
        <v>4550</v>
      </c>
      <c r="I44" s="82">
        <v>0</v>
      </c>
      <c r="J44" s="83">
        <v>0</v>
      </c>
      <c r="K44" s="83">
        <v>0</v>
      </c>
      <c r="L44" s="83">
        <v>0</v>
      </c>
      <c r="M44" s="83">
        <v>9150</v>
      </c>
      <c r="N44" s="83">
        <v>0</v>
      </c>
      <c r="O44" s="68">
        <f>SUM(C44:N44)</f>
        <v>13700</v>
      </c>
    </row>
    <row r="45" spans="2:15" ht="7.5" customHeight="1" x14ac:dyDescent="0.25">
      <c r="C45" s="67"/>
      <c r="D45" s="67"/>
      <c r="E45" s="67"/>
      <c r="F45" s="67"/>
      <c r="G45" s="67"/>
      <c r="I45" s="84"/>
      <c r="J45" s="5"/>
      <c r="K45" s="5"/>
      <c r="L45" s="5"/>
      <c r="M45" s="5"/>
      <c r="N45" s="83"/>
    </row>
    <row r="46" spans="2:15" x14ac:dyDescent="0.25">
      <c r="B46" s="34" t="s">
        <v>52</v>
      </c>
      <c r="C46" s="67">
        <f>117104.33/12</f>
        <v>9758.6941666666662</v>
      </c>
      <c r="D46" s="67">
        <f t="shared" ref="D46:N46" si="12">117104.33/12</f>
        <v>9758.6941666666662</v>
      </c>
      <c r="E46" s="67">
        <f t="shared" si="12"/>
        <v>9758.6941666666662</v>
      </c>
      <c r="F46" s="67">
        <f t="shared" si="12"/>
        <v>9758.6941666666662</v>
      </c>
      <c r="G46" s="67">
        <f t="shared" si="12"/>
        <v>9758.6941666666662</v>
      </c>
      <c r="H46" s="67">
        <f t="shared" si="12"/>
        <v>9758.6941666666662</v>
      </c>
      <c r="I46" s="82">
        <f t="shared" si="12"/>
        <v>9758.6941666666662</v>
      </c>
      <c r="J46" s="83">
        <f t="shared" si="12"/>
        <v>9758.6941666666662</v>
      </c>
      <c r="K46" s="83">
        <f t="shared" si="12"/>
        <v>9758.6941666666662</v>
      </c>
      <c r="L46" s="83">
        <f t="shared" si="12"/>
        <v>9758.6941666666662</v>
      </c>
      <c r="M46" s="83">
        <f t="shared" si="12"/>
        <v>9758.6941666666662</v>
      </c>
      <c r="N46" s="83">
        <f t="shared" si="12"/>
        <v>9758.6941666666662</v>
      </c>
      <c r="O46" s="68">
        <f>SUM(C46:N46)</f>
        <v>117104.33</v>
      </c>
    </row>
    <row r="47" spans="2:15" ht="7.5" customHeight="1" x14ac:dyDescent="0.25">
      <c r="C47" s="67"/>
      <c r="D47" s="67"/>
      <c r="E47" s="67"/>
      <c r="F47" s="67"/>
      <c r="G47" s="67"/>
      <c r="H47" s="67"/>
      <c r="I47" s="82"/>
      <c r="J47" s="83"/>
      <c r="K47" s="83"/>
      <c r="L47" s="83"/>
      <c r="M47" s="83"/>
      <c r="N47" s="83"/>
    </row>
    <row r="48" spans="2:15" x14ac:dyDescent="0.25">
      <c r="B48" s="34" t="s">
        <v>53</v>
      </c>
      <c r="C48" s="67">
        <v>0</v>
      </c>
      <c r="D48" s="67">
        <v>0</v>
      </c>
      <c r="E48" s="67">
        <v>0</v>
      </c>
      <c r="F48" s="67">
        <v>0</v>
      </c>
      <c r="G48" s="67">
        <v>0</v>
      </c>
      <c r="H48" s="67">
        <v>0</v>
      </c>
      <c r="I48" s="82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68">
        <f>SUM(C48:N48)</f>
        <v>0</v>
      </c>
    </row>
    <row r="49" spans="2:15" ht="7.5" customHeight="1" x14ac:dyDescent="0.25">
      <c r="C49" s="67"/>
      <c r="D49" s="67"/>
      <c r="E49" s="67"/>
      <c r="F49" s="67"/>
      <c r="G49" s="67"/>
      <c r="H49" s="67"/>
      <c r="I49" s="82"/>
      <c r="J49" s="83"/>
      <c r="K49" s="83"/>
      <c r="L49" s="83"/>
      <c r="M49" s="83"/>
      <c r="N49" s="83"/>
    </row>
    <row r="50" spans="2:15" x14ac:dyDescent="0.25">
      <c r="B50" s="34" t="s">
        <v>54</v>
      </c>
      <c r="C50" s="67"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82">
        <v>0</v>
      </c>
      <c r="J50" s="83">
        <v>0</v>
      </c>
      <c r="K50" s="83">
        <v>0</v>
      </c>
      <c r="L50" s="83">
        <v>0</v>
      </c>
      <c r="M50" s="83">
        <v>0</v>
      </c>
      <c r="N50" s="83">
        <v>0</v>
      </c>
      <c r="O50" s="68">
        <f>SUM(C50:N50)</f>
        <v>0</v>
      </c>
    </row>
    <row r="51" spans="2:15" ht="7.5" customHeight="1" x14ac:dyDescent="0.25">
      <c r="C51" s="67"/>
      <c r="D51" s="67"/>
      <c r="E51" s="67"/>
      <c r="F51" s="67"/>
      <c r="G51" s="67"/>
      <c r="H51" s="67"/>
      <c r="I51" s="82"/>
      <c r="J51" s="83"/>
      <c r="K51" s="83"/>
      <c r="L51" s="83"/>
      <c r="M51" s="83"/>
      <c r="N51" s="83"/>
    </row>
    <row r="52" spans="2:15" x14ac:dyDescent="0.25">
      <c r="B52" s="70" t="s">
        <v>55</v>
      </c>
      <c r="C52" s="71">
        <f>472862/12</f>
        <v>39405.166666666664</v>
      </c>
      <c r="D52" s="71">
        <f t="shared" ref="D52:N52" si="13">472862/12</f>
        <v>39405.166666666664</v>
      </c>
      <c r="E52" s="71">
        <f t="shared" si="13"/>
        <v>39405.166666666664</v>
      </c>
      <c r="F52" s="71">
        <f t="shared" si="13"/>
        <v>39405.166666666664</v>
      </c>
      <c r="G52" s="71">
        <f t="shared" si="13"/>
        <v>39405.166666666664</v>
      </c>
      <c r="H52" s="71">
        <f t="shared" si="13"/>
        <v>39405.166666666664</v>
      </c>
      <c r="I52" s="85">
        <f t="shared" si="13"/>
        <v>39405.166666666664</v>
      </c>
      <c r="J52" s="71">
        <f t="shared" si="13"/>
        <v>39405.166666666664</v>
      </c>
      <c r="K52" s="71">
        <f t="shared" si="13"/>
        <v>39405.166666666664</v>
      </c>
      <c r="L52" s="71">
        <f t="shared" si="13"/>
        <v>39405.166666666664</v>
      </c>
      <c r="M52" s="71">
        <f t="shared" si="13"/>
        <v>39405.166666666664</v>
      </c>
      <c r="N52" s="71">
        <f t="shared" si="13"/>
        <v>39405.166666666664</v>
      </c>
      <c r="O52" s="68">
        <f>SUM(C52:N52)</f>
        <v>472862.00000000006</v>
      </c>
    </row>
    <row r="53" spans="2:15" s="17" customFormat="1" thickBot="1" x14ac:dyDescent="0.25">
      <c r="B53" s="72" t="s">
        <v>8</v>
      </c>
      <c r="C53" s="73">
        <f t="shared" ref="C53:N53" si="14">SUM(C40:C52)</f>
        <v>102432.86083333334</v>
      </c>
      <c r="D53" s="73">
        <f t="shared" si="14"/>
        <v>102432.86083333334</v>
      </c>
      <c r="E53" s="73">
        <f t="shared" si="14"/>
        <v>102432.86083333334</v>
      </c>
      <c r="F53" s="73">
        <f t="shared" si="14"/>
        <v>102432.86083333334</v>
      </c>
      <c r="G53" s="73">
        <f t="shared" si="14"/>
        <v>102432.86083333334</v>
      </c>
      <c r="H53" s="73">
        <f t="shared" si="14"/>
        <v>106982.86083333334</v>
      </c>
      <c r="I53" s="86">
        <f t="shared" si="14"/>
        <v>102432.86083333334</v>
      </c>
      <c r="J53" s="73">
        <f t="shared" si="14"/>
        <v>102432.86083333334</v>
      </c>
      <c r="K53" s="73">
        <f t="shared" si="14"/>
        <v>102432.86083333334</v>
      </c>
      <c r="L53" s="73">
        <f t="shared" si="14"/>
        <v>102432.86083333334</v>
      </c>
      <c r="M53" s="73">
        <f t="shared" si="14"/>
        <v>111582.86083333334</v>
      </c>
      <c r="N53" s="73">
        <f t="shared" si="14"/>
        <v>102432.86083333334</v>
      </c>
      <c r="O53" s="74">
        <f>SUM(C53:N53)</f>
        <v>1242894.33</v>
      </c>
    </row>
    <row r="54" spans="2:15" ht="15.75" thickTop="1" x14ac:dyDescent="0.25"/>
  </sheetData>
  <mergeCells count="5">
    <mergeCell ref="A2:N2"/>
    <mergeCell ref="C4:N4"/>
    <mergeCell ref="C21:N21"/>
    <mergeCell ref="C38:H38"/>
    <mergeCell ref="I38:N38"/>
  </mergeCells>
  <pageMargins left="0.45" right="0.45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by Project</vt:lpstr>
      <vt:lpstr>by Month</vt:lpstr>
      <vt:lpstr>'by Project'!Print_Area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W. Lapin</dc:creator>
  <cp:lastModifiedBy>James W. Lapin</cp:lastModifiedBy>
  <dcterms:created xsi:type="dcterms:W3CDTF">2013-12-11T21:18:52Z</dcterms:created>
  <dcterms:modified xsi:type="dcterms:W3CDTF">2013-12-11T21:20:36Z</dcterms:modified>
</cp:coreProperties>
</file>