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30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<sst xmlns="http://schemas.openxmlformats.org/spreadsheetml/2006/main" count="57" uniqueCount="34">
  <si>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% effort desired =</t>
  </si>
  <si>
    <t>Salary distribution % under Salary Cap A (125,000)</t>
  </si>
  <si>
    <t>% salary desired =</t>
  </si>
  <si>
    <t xml:space="preserve">Situation A     I want Dr Smith's salary to be a fixed percent from a federal grant under the salary cap.  How much </t>
  </si>
  <si>
    <t xml:space="preserve">    should the effort be?</t>
  </si>
  <si>
    <t>Salary distribution % under Salary Cap B (125,900)</t>
  </si>
  <si>
    <t>Effort distribution % under Salary Cap A (125,000)</t>
  </si>
  <si>
    <t>Effort distribution % under Salary Cap B (125,900)</t>
  </si>
  <si>
    <t>Situation B     I want Dr Smith's effort to be a fixed percent from a federal grant under the salary cap.  How much</t>
  </si>
  <si>
    <t xml:space="preserve">    should the salary be?</t>
  </si>
  <si>
    <t>Dr Smith's annual salary =</t>
  </si>
  <si>
    <t>Time and Effort Calculation for Faculty making over $125,000 annual salary</t>
  </si>
  <si>
    <t>Situation C     I want to pay Dr Smith a fixed amount from a federal grant under the salary cap.  How much</t>
  </si>
  <si>
    <t xml:space="preserve">    should the salary % and effort percentage be.</t>
  </si>
  <si>
    <t>Effort  distribution % under Salary Cap A (125,000)</t>
  </si>
  <si>
    <t>Effort distribution % under Salary Cap C (136,700)</t>
  </si>
  <si>
    <t>Salary distribution % under Salary Cap C (136,700)</t>
  </si>
  <si>
    <t>Annual salary to be charged to grant</t>
  </si>
  <si>
    <t>Effort distribution % under Salary Cap D (141,300)</t>
  </si>
  <si>
    <t>Salary distribution % under Salary Cap D (141,300)</t>
  </si>
  <si>
    <t>Effort distribution % under Salary Cap E (157,000)</t>
  </si>
  <si>
    <t>Salary distribution % under Salary Cap E (157,000)</t>
  </si>
  <si>
    <t>Effort distribution % under Salary Cap F (161,200)</t>
  </si>
  <si>
    <t>Salary distribution % under Salary Cap F (161,200)</t>
  </si>
  <si>
    <t>Effort distribution % under Salary Cap G (166,700)</t>
  </si>
  <si>
    <t>Salary distribution % under Salary Cap G (166,700)</t>
  </si>
  <si>
    <t>Salary distribution % under Salary Cap H (171,900)</t>
  </si>
  <si>
    <t>Effort distribution % under Salary Cap H (171,900)</t>
  </si>
  <si>
    <t>Salary distribution % under Salary Cap I (175,700)</t>
  </si>
  <si>
    <t>Effort distribution % under Salary Cap I (175,700)</t>
  </si>
  <si>
    <t>Effort distribution % under Salary Cap J (180,100)</t>
  </si>
  <si>
    <t>Salary distribution % under Salary Cap J (180,100)</t>
  </si>
  <si>
    <t>Effort distribution % under Salary Cap K (183,500)</t>
  </si>
  <si>
    <t>Salary distribution % under Salary Cap K (183,500)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</si>
</sst>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  <numFmt numFmtId="166" formatCode="0.000%"/>
  </numFmts>
  <fonts count="3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5" fontId="1" fillId="0" borderId="1" xfId="0" applyNumberFormat="1" applyFont="1" applyBorder="1" applyAlignment="1" applyProtection="1">
      <alignment/>
      <protection locked="0"/>
    </xf>
    <xf numFmtId="10" fontId="1" fillId="0" borderId="1" xfId="0" applyNumberFormat="1" applyFont="1" applyBorder="1" applyAlignment="1" applyProtection="1">
      <alignment/>
      <protection locked="0"/>
    </xf>
    <xf numFmtId="0" fontId="2" fillId="0" borderId="8" xfId="0" applyFont="1" applyBorder="1" applyAlignment="1" quotePrefix="1">
      <alignment horizontal="left"/>
    </xf>
    <xf numFmtId="0" fontId="2" fillId="0" borderId="9" xfId="0" applyFont="1" applyBorder="1" applyAlignment="1">
      <alignment/>
    </xf>
    <xf numFmtId="0" fontId="2" fillId="0" borderId="9" xfId="0" applyFont="1" applyBorder="1" applyAlignment="1" applyProtection="1">
      <alignment/>
      <protection locked="0"/>
    </xf>
    <xf numFmtId="0" fontId="2" fillId="0" borderId="3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4" fontId="1" fillId="0" borderId="1" xfId="0" applyNumberFormat="1" applyFont="1" applyBorder="1" applyAlignment="1" applyProtection="1">
      <alignment/>
      <protection locked="0"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2" fillId="0" borderId="8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6" fontId="0" fillId="0" borderId="6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62">
      <selection activeCell="D27" sqref="D27"/>
    </sheetView>
  </sheetViews>
  <sheetFormatPr defaultColWidth="9.140625" defaultRowHeight="12.75"/>
  <cols>
    <col min="2" max="2" width="12.7109375" style="0" customWidth="1"/>
    <col min="3" max="3" width="12.7109375" style="11" bestFit="1" customWidth="1"/>
    <col min="4" max="4" width="12.7109375" style="0" customWidth="1"/>
    <col min="6" max="6" width="20.28125" style="0" bestFit="1" customWidth="1"/>
    <col min="10" max="10" width="12.7109375" style="0" customWidth="1"/>
    <col min="11" max="11" width="14.421875" style="0" bestFit="1" customWidth="1"/>
  </cols>
  <sheetData>
    <row r="1" ht="12.75">
      <c r="A1" s="1" t="s">
        <v>11</v>
      </c>
    </row>
    <row r="3" ht="13.5" thickBot="1"/>
    <row r="4" spans="1:10" ht="12.75">
      <c r="A4" s="16" t="s">
        <v>3</v>
      </c>
      <c r="B4" s="17"/>
      <c r="C4" s="29"/>
      <c r="D4" s="17"/>
      <c r="E4" s="17"/>
      <c r="F4" s="17"/>
      <c r="G4" s="17"/>
      <c r="H4" s="17"/>
      <c r="I4" s="3"/>
      <c r="J4" s="5"/>
    </row>
    <row r="5" spans="1:10" ht="12.75">
      <c r="A5" s="19"/>
      <c r="B5" s="20" t="s">
        <v>4</v>
      </c>
      <c r="C5" s="30"/>
      <c r="D5" s="22"/>
      <c r="E5" s="22"/>
      <c r="F5" s="22"/>
      <c r="G5" s="22"/>
      <c r="H5" s="22"/>
      <c r="I5" s="6"/>
      <c r="J5" s="5"/>
    </row>
    <row r="6" spans="1:10" ht="13.5" thickBot="1">
      <c r="A6" s="7"/>
      <c r="B6" s="5"/>
      <c r="C6" s="31"/>
      <c r="D6" s="5"/>
      <c r="E6" s="5"/>
      <c r="F6" s="5"/>
      <c r="G6" s="5"/>
      <c r="H6" s="5"/>
      <c r="I6" s="6"/>
      <c r="J6" s="5"/>
    </row>
    <row r="7" spans="1:10" ht="13.5" thickBot="1">
      <c r="A7" s="4" t="s">
        <v>10</v>
      </c>
      <c r="B7" s="5"/>
      <c r="C7" s="31"/>
      <c r="D7" s="14">
        <v>183500</v>
      </c>
      <c r="E7" s="5"/>
      <c r="F7" s="5"/>
      <c r="G7" s="5"/>
      <c r="H7" s="5"/>
      <c r="I7" s="6"/>
      <c r="J7" s="5"/>
    </row>
    <row r="8" spans="1:10" ht="13.5" thickBot="1">
      <c r="A8" s="7"/>
      <c r="B8" s="5"/>
      <c r="C8" s="31"/>
      <c r="D8" s="5"/>
      <c r="E8" s="5"/>
      <c r="F8" s="5"/>
      <c r="G8" s="5"/>
      <c r="H8" s="5"/>
      <c r="I8" s="6"/>
      <c r="J8" s="5"/>
    </row>
    <row r="9" spans="1:10" ht="13.5" thickBot="1">
      <c r="A9" s="4" t="s">
        <v>2</v>
      </c>
      <c r="B9" s="5"/>
      <c r="C9" s="31"/>
      <c r="D9" s="15">
        <v>0.12</v>
      </c>
      <c r="E9" s="5"/>
      <c r="F9" s="5"/>
      <c r="G9" s="5"/>
      <c r="H9" s="5"/>
      <c r="I9" s="6"/>
      <c r="J9" s="5"/>
    </row>
    <row r="10" spans="1:10" ht="13.5" thickBot="1">
      <c r="A10" s="7"/>
      <c r="B10" s="5"/>
      <c r="C10" s="31"/>
      <c r="D10" s="5"/>
      <c r="E10" s="5"/>
      <c r="F10" s="5"/>
      <c r="G10" s="5"/>
      <c r="H10" s="5"/>
      <c r="I10" s="6"/>
      <c r="J10" s="5"/>
    </row>
    <row r="11" spans="1:10" ht="13.5" thickBot="1">
      <c r="A11" s="4" t="s">
        <v>6</v>
      </c>
      <c r="B11" s="5"/>
      <c r="C11" s="31"/>
      <c r="D11" s="5"/>
      <c r="E11" s="5"/>
      <c r="F11" s="2">
        <f>IF((+D7*D9/125000)&lt;D9,D9,+D7*D9/125000)</f>
        <v>0.17616</v>
      </c>
      <c r="G11" s="5"/>
      <c r="H11" s="5"/>
      <c r="I11" s="6"/>
      <c r="J11" s="5"/>
    </row>
    <row r="12" spans="1:10" ht="13.5" thickBot="1">
      <c r="A12" s="4" t="s">
        <v>7</v>
      </c>
      <c r="B12" s="5"/>
      <c r="C12" s="31"/>
      <c r="D12" s="5"/>
      <c r="E12" s="5"/>
      <c r="F12" s="2">
        <f>IF((+D7*D9/125900)&lt;D9,D9,+D7*D9/125900)</f>
        <v>0.17490071485305797</v>
      </c>
      <c r="G12" s="5"/>
      <c r="H12" s="5"/>
      <c r="I12" s="6"/>
      <c r="J12" s="5"/>
    </row>
    <row r="13" spans="1:10" ht="13.5" thickBot="1">
      <c r="A13" s="4" t="s">
        <v>15</v>
      </c>
      <c r="B13" s="5"/>
      <c r="C13" s="12"/>
      <c r="D13" s="5"/>
      <c r="E13" s="5"/>
      <c r="F13" s="2">
        <f>IF((+D7*D9/136700)&lt;D9,D9,+D7*D9/136700)</f>
        <v>0.1610826627651792</v>
      </c>
      <c r="G13" s="5"/>
      <c r="H13" s="5"/>
      <c r="I13" s="6"/>
      <c r="J13" s="5"/>
    </row>
    <row r="14" spans="1:10" ht="13.5" thickBot="1">
      <c r="A14" s="4" t="s">
        <v>18</v>
      </c>
      <c r="B14" s="5"/>
      <c r="C14" s="12"/>
      <c r="D14" s="5"/>
      <c r="E14" s="5"/>
      <c r="F14" s="2">
        <f>IF((+D7*D9/141300)&lt;D9,D9,+D7*D9/141300)</f>
        <v>0.15583864118895965</v>
      </c>
      <c r="G14" s="5"/>
      <c r="H14" s="5"/>
      <c r="I14" s="6"/>
      <c r="J14" s="5"/>
    </row>
    <row r="15" spans="1:10" ht="13.5" thickBot="1">
      <c r="A15" s="4" t="s">
        <v>20</v>
      </c>
      <c r="B15" s="5"/>
      <c r="C15" s="12"/>
      <c r="D15" s="5"/>
      <c r="E15" s="5"/>
      <c r="F15" s="2">
        <f>IF((+D7*D9/157000)&lt;D9,D9,+D7*D9/157000)</f>
        <v>0.1402547770700637</v>
      </c>
      <c r="G15" s="5"/>
      <c r="H15" s="5"/>
      <c r="I15" s="6"/>
      <c r="J15" s="5"/>
    </row>
    <row r="16" spans="1:10" ht="13.5" thickBot="1">
      <c r="A16" s="4" t="s">
        <v>22</v>
      </c>
      <c r="B16" s="5"/>
      <c r="C16" s="12"/>
      <c r="D16" s="5"/>
      <c r="E16" s="5"/>
      <c r="F16" s="2">
        <f>IF((+D7*D9/161200)&lt;D9,D9,+D7*D9/161200)</f>
        <v>0.13660049627791562</v>
      </c>
      <c r="G16" s="5"/>
      <c r="H16" s="5"/>
      <c r="I16" s="6"/>
      <c r="J16" s="5"/>
    </row>
    <row r="17" spans="1:10" ht="13.5" thickBot="1">
      <c r="A17" s="4" t="s">
        <v>24</v>
      </c>
      <c r="B17" s="5"/>
      <c r="C17" s="12"/>
      <c r="D17" s="5"/>
      <c r="E17" s="5"/>
      <c r="F17" s="2">
        <f>IF((+D7*D9/166700)&lt;D9,D9,+D7*D9/166700)</f>
        <v>0.13209358128374324</v>
      </c>
      <c r="G17" s="5"/>
      <c r="H17" s="5"/>
      <c r="I17" s="6"/>
      <c r="J17" s="5"/>
    </row>
    <row r="18" spans="1:10" ht="13.5" thickBot="1">
      <c r="A18" s="4" t="s">
        <v>27</v>
      </c>
      <c r="B18" s="5"/>
      <c r="C18" s="12"/>
      <c r="D18" s="5"/>
      <c r="E18" s="5"/>
      <c r="F18" s="2">
        <f>IF((+D7*D9/171900)&lt;D9,D9,+D7*D9/171900)</f>
        <v>0.1280977312390925</v>
      </c>
      <c r="G18" s="5"/>
      <c r="H18" s="5"/>
      <c r="I18" s="6"/>
      <c r="J18" s="5"/>
    </row>
    <row r="19" spans="1:10" ht="13.5" thickBot="1">
      <c r="A19" s="4" t="s">
        <v>29</v>
      </c>
      <c r="B19" s="5"/>
      <c r="C19" s="12"/>
      <c r="D19" s="5"/>
      <c r="E19" s="5"/>
      <c r="F19" s="2">
        <f>IF((+D7*D9/175700)&lt;D9,D9,+D7*D9/175700)</f>
        <v>0.1253272623790552</v>
      </c>
      <c r="G19" s="5"/>
      <c r="H19" s="5"/>
      <c r="I19" s="6"/>
      <c r="J19" s="5"/>
    </row>
    <row r="20" spans="1:10" ht="13.5" thickBot="1">
      <c r="A20" s="4" t="s">
        <v>30</v>
      </c>
      <c r="B20" s="5"/>
      <c r="C20" s="12"/>
      <c r="D20" s="5"/>
      <c r="E20" s="5"/>
      <c r="F20" s="2">
        <f>IF((+D7*D9/180100)&lt;D9,D9,+D7*D9/180100)</f>
        <v>0.12226540810660744</v>
      </c>
      <c r="G20" s="5"/>
      <c r="H20" s="5"/>
      <c r="I20" s="6"/>
      <c r="J20" s="5"/>
    </row>
    <row r="21" spans="1:10" ht="13.5" thickBot="1">
      <c r="A21" s="8" t="s">
        <v>32</v>
      </c>
      <c r="B21" s="9"/>
      <c r="C21" s="13"/>
      <c r="D21" s="9"/>
      <c r="E21" s="9"/>
      <c r="F21" s="2">
        <f>IF((+D7*D9/183500)&lt;D9,D9,+D7*D9/183500)</f>
        <v>0.12</v>
      </c>
      <c r="G21" s="9"/>
      <c r="H21" s="9"/>
      <c r="I21" s="10"/>
      <c r="J21" s="5"/>
    </row>
    <row r="23" ht="13.5" thickBot="1"/>
    <row r="24" spans="1:9" ht="12.75">
      <c r="A24" s="16" t="s">
        <v>8</v>
      </c>
      <c r="B24" s="17"/>
      <c r="C24" s="18"/>
      <c r="D24" s="17"/>
      <c r="E24" s="17"/>
      <c r="F24" s="17"/>
      <c r="G24" s="17"/>
      <c r="H24" s="17"/>
      <c r="I24" s="3"/>
    </row>
    <row r="25" spans="1:9" ht="12.75">
      <c r="A25" s="19"/>
      <c r="B25" s="20" t="s">
        <v>9</v>
      </c>
      <c r="C25" s="21"/>
      <c r="D25" s="22"/>
      <c r="E25" s="22"/>
      <c r="F25" s="22"/>
      <c r="G25" s="22"/>
      <c r="H25" s="22"/>
      <c r="I25" s="6"/>
    </row>
    <row r="26" spans="1:9" ht="13.5" thickBot="1">
      <c r="A26" s="7"/>
      <c r="B26" s="5"/>
      <c r="C26" s="12"/>
      <c r="D26" s="5"/>
      <c r="E26" s="5"/>
      <c r="F26" s="5"/>
      <c r="G26" s="5"/>
      <c r="H26" s="5"/>
      <c r="I26" s="6"/>
    </row>
    <row r="27" spans="1:9" ht="13.5" thickBot="1">
      <c r="A27" s="4" t="s">
        <v>10</v>
      </c>
      <c r="B27" s="5"/>
      <c r="C27" s="12"/>
      <c r="D27" s="14">
        <v>183500</v>
      </c>
      <c r="E27" s="5"/>
      <c r="F27" s="5"/>
      <c r="G27" s="5"/>
      <c r="H27" s="5"/>
      <c r="I27" s="6"/>
    </row>
    <row r="28" spans="1:9" ht="13.5" thickBot="1">
      <c r="A28" s="7"/>
      <c r="B28" s="5"/>
      <c r="C28" s="12"/>
      <c r="D28" s="5"/>
      <c r="E28" s="5"/>
      <c r="F28" s="5"/>
      <c r="G28" s="5"/>
      <c r="H28" s="5"/>
      <c r="I28" s="6"/>
    </row>
    <row r="29" spans="1:9" ht="13.5" thickBot="1">
      <c r="A29" s="4" t="s">
        <v>0</v>
      </c>
      <c r="B29" s="5"/>
      <c r="C29" s="12"/>
      <c r="D29" s="15">
        <v>0.15</v>
      </c>
      <c r="E29" s="5"/>
      <c r="F29" s="5"/>
      <c r="G29" s="5"/>
      <c r="H29" s="5"/>
      <c r="I29" s="6"/>
    </row>
    <row r="30" spans="1:9" ht="13.5" thickBot="1">
      <c r="A30" s="7"/>
      <c r="B30" s="5"/>
      <c r="C30" s="12"/>
      <c r="D30" s="5"/>
      <c r="E30" s="5"/>
      <c r="F30" s="5"/>
      <c r="G30" s="5"/>
      <c r="H30" s="5"/>
      <c r="I30" s="6"/>
    </row>
    <row r="31" spans="1:11" ht="13.5" thickBot="1">
      <c r="A31" s="4" t="s">
        <v>1</v>
      </c>
      <c r="B31" s="5"/>
      <c r="C31" s="12"/>
      <c r="D31" s="5"/>
      <c r="E31" s="5"/>
      <c r="F31" s="2">
        <f>IF((D27&lt;K31),D27,K31)</f>
        <v>0.10217983651226158</v>
      </c>
      <c r="G31" s="27"/>
      <c r="H31" s="5"/>
      <c r="I31" s="6"/>
      <c r="K31" s="2">
        <f>+D29*125000/D27</f>
        <v>0.10217983651226158</v>
      </c>
    </row>
    <row r="32" spans="1:11" ht="13.5" thickBot="1">
      <c r="A32" s="4" t="s">
        <v>5</v>
      </c>
      <c r="B32" s="5"/>
      <c r="C32" s="12"/>
      <c r="D32" s="5"/>
      <c r="E32" s="5"/>
      <c r="F32" s="2">
        <f>IF((D29&lt;K32),D29,K32)</f>
        <v>0.10291553133514986</v>
      </c>
      <c r="G32" s="27"/>
      <c r="H32" s="27"/>
      <c r="I32" s="6"/>
      <c r="K32" s="2">
        <f>+D29*125900/D27</f>
        <v>0.10291553133514986</v>
      </c>
    </row>
    <row r="33" spans="1:11" ht="13.5" thickBot="1">
      <c r="A33" s="4" t="s">
        <v>16</v>
      </c>
      <c r="B33" s="5"/>
      <c r="C33" s="12"/>
      <c r="D33" s="5"/>
      <c r="E33" s="5"/>
      <c r="F33" s="33">
        <f>IF((D29&lt;K33),D29,K33)</f>
        <v>0.11174386920980926</v>
      </c>
      <c r="G33" s="5"/>
      <c r="H33" s="27"/>
      <c r="I33" s="6"/>
      <c r="K33" s="2">
        <f>+D29*136700/D27</f>
        <v>0.11174386920980926</v>
      </c>
    </row>
    <row r="34" spans="1:11" ht="13.5" thickBot="1">
      <c r="A34" s="4" t="s">
        <v>19</v>
      </c>
      <c r="B34" s="5"/>
      <c r="C34" s="12"/>
      <c r="D34" s="5"/>
      <c r="E34" s="5"/>
      <c r="F34" s="2">
        <f>IF((D29&lt;K34),D29,K34)</f>
        <v>0.11550408719346049</v>
      </c>
      <c r="G34" s="27"/>
      <c r="H34" s="5"/>
      <c r="I34" s="6"/>
      <c r="K34" s="2">
        <f>+D29*141300/D27</f>
        <v>0.11550408719346049</v>
      </c>
    </row>
    <row r="35" spans="1:11" ht="13.5" thickBot="1">
      <c r="A35" s="4" t="s">
        <v>21</v>
      </c>
      <c r="B35" s="5"/>
      <c r="C35" s="12"/>
      <c r="D35" s="5"/>
      <c r="E35" s="5"/>
      <c r="F35" s="2">
        <f>IF((D29&lt;K35),D29,K35)</f>
        <v>0.12833787465940055</v>
      </c>
      <c r="G35" s="27"/>
      <c r="H35" s="5"/>
      <c r="I35" s="6"/>
      <c r="K35" s="2">
        <f>+D29*157000/D27</f>
        <v>0.12833787465940055</v>
      </c>
    </row>
    <row r="36" spans="1:11" ht="13.5" thickBot="1">
      <c r="A36" s="4" t="s">
        <v>23</v>
      </c>
      <c r="B36" s="5"/>
      <c r="C36" s="12"/>
      <c r="D36" s="5"/>
      <c r="E36" s="5"/>
      <c r="F36" s="2">
        <f>IF((D29&lt;K36),D29,K36)</f>
        <v>0.13177111716621254</v>
      </c>
      <c r="G36" s="27"/>
      <c r="H36" s="5"/>
      <c r="I36" s="6"/>
      <c r="K36" s="2">
        <f>+D29*161200/D27</f>
        <v>0.13177111716621254</v>
      </c>
    </row>
    <row r="37" spans="1:11" ht="13.5" thickBot="1">
      <c r="A37" s="4" t="s">
        <v>25</v>
      </c>
      <c r="B37" s="5"/>
      <c r="C37" s="12"/>
      <c r="D37" s="5"/>
      <c r="E37" s="5"/>
      <c r="F37" s="2">
        <f>IF((D29&lt;K37),D29,K37)</f>
        <v>0.13626702997275206</v>
      </c>
      <c r="G37" s="27"/>
      <c r="H37" s="5"/>
      <c r="I37" s="6"/>
      <c r="K37" s="2">
        <f>+D29*166700/D27</f>
        <v>0.13626702997275206</v>
      </c>
    </row>
    <row r="38" spans="1:11" ht="13.5" thickBot="1">
      <c r="A38" s="4" t="s">
        <v>26</v>
      </c>
      <c r="B38" s="5"/>
      <c r="C38" s="12"/>
      <c r="D38" s="5"/>
      <c r="E38" s="5"/>
      <c r="F38" s="26">
        <f>IF((D29&lt;K38),D29,K38)</f>
        <v>0.14051771117166212</v>
      </c>
      <c r="G38" s="27"/>
      <c r="H38" s="5"/>
      <c r="I38" s="6"/>
      <c r="K38" s="2">
        <f>+D29*171900/D27</f>
        <v>0.14051771117166212</v>
      </c>
    </row>
    <row r="39" spans="1:11" ht="13.5" thickBot="1">
      <c r="A39" s="4" t="s">
        <v>28</v>
      </c>
      <c r="B39" s="5"/>
      <c r="C39" s="12"/>
      <c r="D39" s="5"/>
      <c r="E39" s="5"/>
      <c r="F39" s="2">
        <f>IF((D29&lt;K39),D29,K39)</f>
        <v>0.1436239782016349</v>
      </c>
      <c r="G39" s="27"/>
      <c r="H39" s="5"/>
      <c r="I39" s="6"/>
      <c r="K39" s="2">
        <f>+D29*175700/D27</f>
        <v>0.1436239782016349</v>
      </c>
    </row>
    <row r="40" spans="1:11" ht="13.5" thickBot="1">
      <c r="A40" s="4" t="s">
        <v>31</v>
      </c>
      <c r="B40" s="5"/>
      <c r="C40" s="12"/>
      <c r="D40" s="5"/>
      <c r="E40" s="5"/>
      <c r="F40" s="2">
        <f>IF((D29&lt;K40),D29,K40)</f>
        <v>0.1472207084468665</v>
      </c>
      <c r="G40" s="27"/>
      <c r="H40" s="5"/>
      <c r="I40" s="6"/>
      <c r="K40" s="2">
        <f>+D29*180100/D27</f>
        <v>0.1472207084468665</v>
      </c>
    </row>
    <row r="41" spans="1:11" ht="13.5" thickBot="1">
      <c r="A41" s="8" t="s">
        <v>33</v>
      </c>
      <c r="B41" s="9"/>
      <c r="C41" s="13"/>
      <c r="D41" s="9"/>
      <c r="E41" s="9"/>
      <c r="F41" s="2">
        <f>IF((D29&lt;K41),D29,K41)</f>
        <v>0.15</v>
      </c>
      <c r="G41" s="32"/>
      <c r="H41" s="9"/>
      <c r="I41" s="10"/>
      <c r="K41" s="2">
        <f>+D29*183500/D27</f>
        <v>0.15</v>
      </c>
    </row>
    <row r="43" ht="13.5" thickBot="1"/>
    <row r="44" spans="1:9" ht="12.75">
      <c r="A44" s="16" t="s">
        <v>12</v>
      </c>
      <c r="B44" s="17"/>
      <c r="C44" s="18"/>
      <c r="D44" s="17"/>
      <c r="E44" s="17"/>
      <c r="F44" s="17"/>
      <c r="G44" s="17"/>
      <c r="H44" s="17"/>
      <c r="I44" s="23"/>
    </row>
    <row r="45" spans="1:9" ht="12.75">
      <c r="A45" s="19"/>
      <c r="B45" s="20" t="s">
        <v>13</v>
      </c>
      <c r="C45" s="21"/>
      <c r="D45" s="22"/>
      <c r="E45" s="22"/>
      <c r="F45" s="22"/>
      <c r="G45" s="22"/>
      <c r="H45" s="22"/>
      <c r="I45" s="24"/>
    </row>
    <row r="46" spans="1:9" ht="13.5" thickBot="1">
      <c r="A46" s="7"/>
      <c r="B46" s="5"/>
      <c r="C46" s="12"/>
      <c r="D46" s="5"/>
      <c r="E46" s="5"/>
      <c r="F46" s="5"/>
      <c r="G46" s="5"/>
      <c r="H46" s="5"/>
      <c r="I46" s="6"/>
    </row>
    <row r="47" spans="1:9" ht="13.5" thickBot="1">
      <c r="A47" s="4" t="s">
        <v>10</v>
      </c>
      <c r="B47" s="5"/>
      <c r="C47" s="12"/>
      <c r="D47" s="14">
        <v>185000</v>
      </c>
      <c r="E47" s="5"/>
      <c r="F47" s="5"/>
      <c r="G47" s="5"/>
      <c r="H47" s="5"/>
      <c r="I47" s="6"/>
    </row>
    <row r="48" spans="1:9" ht="13.5" thickBot="1">
      <c r="A48" s="7"/>
      <c r="B48" s="5"/>
      <c r="C48" s="12"/>
      <c r="D48" s="5"/>
      <c r="E48" s="5"/>
      <c r="F48" s="5"/>
      <c r="G48" s="5"/>
      <c r="H48" s="5"/>
      <c r="I48" s="6"/>
    </row>
    <row r="49" spans="1:9" ht="13.5" thickBot="1">
      <c r="A49" s="4" t="s">
        <v>17</v>
      </c>
      <c r="B49" s="5"/>
      <c r="C49" s="12"/>
      <c r="D49" s="25">
        <v>30000</v>
      </c>
      <c r="E49" s="5"/>
      <c r="F49" s="5"/>
      <c r="G49" s="5"/>
      <c r="H49" s="5"/>
      <c r="I49" s="6"/>
    </row>
    <row r="50" spans="1:9" ht="13.5" thickBot="1">
      <c r="A50" s="7"/>
      <c r="B50" s="5"/>
      <c r="C50" s="12"/>
      <c r="D50" s="5"/>
      <c r="E50" s="5"/>
      <c r="F50" s="5"/>
      <c r="G50" s="5"/>
      <c r="H50" s="5"/>
      <c r="I50" s="6"/>
    </row>
    <row r="51" spans="1:9" ht="13.5" thickBot="1">
      <c r="A51" s="4" t="s">
        <v>1</v>
      </c>
      <c r="B51" s="5"/>
      <c r="C51" s="12"/>
      <c r="D51" s="5"/>
      <c r="E51" s="5"/>
      <c r="F51" s="2">
        <f>+D49/D47</f>
        <v>0.16216216216216217</v>
      </c>
      <c r="G51" s="5"/>
      <c r="H51" s="5"/>
      <c r="I51" s="6"/>
    </row>
    <row r="52" spans="1:11" ht="13.5" thickBot="1">
      <c r="A52" s="4" t="s">
        <v>14</v>
      </c>
      <c r="B52" s="5"/>
      <c r="C52" s="12"/>
      <c r="D52" s="5"/>
      <c r="E52" s="5"/>
      <c r="F52" s="2">
        <f>IF((F51&gt;K52),F51,K52)</f>
        <v>0.24</v>
      </c>
      <c r="G52" s="5"/>
      <c r="H52" s="5"/>
      <c r="I52" s="6"/>
      <c r="K52" s="2">
        <f>+D47*F51/125000</f>
        <v>0.24</v>
      </c>
    </row>
    <row r="53" spans="1:9" ht="13.5" thickBot="1">
      <c r="A53" s="4"/>
      <c r="B53" s="5"/>
      <c r="C53" s="12"/>
      <c r="D53" s="5"/>
      <c r="E53" s="5"/>
      <c r="F53" s="27"/>
      <c r="G53" s="5"/>
      <c r="H53" s="5"/>
      <c r="I53" s="6"/>
    </row>
    <row r="54" spans="1:9" ht="13.5" thickBot="1">
      <c r="A54" s="4" t="s">
        <v>5</v>
      </c>
      <c r="B54" s="5"/>
      <c r="C54" s="12"/>
      <c r="D54" s="5"/>
      <c r="E54" s="5"/>
      <c r="F54" s="2">
        <f>+D49/D47</f>
        <v>0.16216216216216217</v>
      </c>
      <c r="G54" s="5"/>
      <c r="H54" s="5"/>
      <c r="I54" s="6"/>
    </row>
    <row r="55" spans="1:11" ht="13.5" thickBot="1">
      <c r="A55" s="4" t="s">
        <v>7</v>
      </c>
      <c r="B55" s="5"/>
      <c r="C55" s="12"/>
      <c r="D55" s="5"/>
      <c r="E55" s="5"/>
      <c r="F55" s="2">
        <f>IF((F54&gt;K55),F54,K55)</f>
        <v>0.23828435266084194</v>
      </c>
      <c r="G55" s="5"/>
      <c r="H55" s="5"/>
      <c r="I55" s="6"/>
      <c r="K55" s="2">
        <f>+D47*F51/125900</f>
        <v>0.23828435266084194</v>
      </c>
    </row>
    <row r="56" spans="1:9" ht="13.5" thickBot="1">
      <c r="A56" s="4"/>
      <c r="B56" s="5"/>
      <c r="C56" s="12"/>
      <c r="D56" s="5"/>
      <c r="E56" s="5"/>
      <c r="F56" s="28"/>
      <c r="G56" s="5"/>
      <c r="H56" s="5"/>
      <c r="I56" s="6"/>
    </row>
    <row r="57" spans="1:9" ht="13.5" thickBot="1">
      <c r="A57" s="4" t="s">
        <v>16</v>
      </c>
      <c r="B57" s="5"/>
      <c r="C57" s="12"/>
      <c r="D57" s="5"/>
      <c r="E57" s="5"/>
      <c r="F57" s="2">
        <f>+D49/D47</f>
        <v>0.16216216216216217</v>
      </c>
      <c r="G57" s="5"/>
      <c r="H57" s="5"/>
      <c r="I57" s="6"/>
    </row>
    <row r="58" spans="1:11" ht="13.5" thickBot="1">
      <c r="A58" s="4" t="s">
        <v>15</v>
      </c>
      <c r="B58" s="5"/>
      <c r="C58" s="12"/>
      <c r="D58" s="5"/>
      <c r="E58" s="5"/>
      <c r="F58" s="26">
        <f>IF((F57&gt;K58),F57,K58)</f>
        <v>0.2194586686174104</v>
      </c>
      <c r="G58" s="5"/>
      <c r="H58" s="5"/>
      <c r="I58" s="6"/>
      <c r="K58" s="2">
        <f>+D47*F51/136700</f>
        <v>0.2194586686174104</v>
      </c>
    </row>
    <row r="59" spans="1:11" ht="13.5" thickBot="1">
      <c r="A59" s="4"/>
      <c r="B59" s="5"/>
      <c r="C59" s="12"/>
      <c r="D59" s="5"/>
      <c r="E59" s="5"/>
      <c r="F59" s="32"/>
      <c r="G59" s="5"/>
      <c r="H59" s="5"/>
      <c r="I59" s="6"/>
      <c r="K59" s="27"/>
    </row>
    <row r="60" spans="1:11" ht="13.5" thickBot="1">
      <c r="A60" s="4" t="s">
        <v>19</v>
      </c>
      <c r="B60" s="5"/>
      <c r="C60" s="12"/>
      <c r="D60" s="5"/>
      <c r="E60" s="5"/>
      <c r="F60" s="2">
        <f>+D49/D47</f>
        <v>0.16216216216216217</v>
      </c>
      <c r="G60" s="5"/>
      <c r="H60" s="5"/>
      <c r="I60" s="6"/>
      <c r="K60" s="27"/>
    </row>
    <row r="61" spans="1:11" ht="13.5" thickBot="1">
      <c r="A61" s="4" t="s">
        <v>18</v>
      </c>
      <c r="B61" s="5"/>
      <c r="C61" s="12"/>
      <c r="D61" s="5"/>
      <c r="E61" s="5"/>
      <c r="F61" s="2">
        <f>IF((F60&gt;K61),F60,K61)</f>
        <v>0.21231422505307856</v>
      </c>
      <c r="G61" s="5"/>
      <c r="H61" s="5"/>
      <c r="I61" s="6"/>
      <c r="K61" s="2">
        <f>+D47*F51/141300</f>
        <v>0.21231422505307856</v>
      </c>
    </row>
    <row r="62" spans="1:11" ht="13.5" thickBot="1">
      <c r="A62" s="4"/>
      <c r="B62" s="5"/>
      <c r="C62" s="12"/>
      <c r="D62" s="5"/>
      <c r="E62" s="5"/>
      <c r="F62" s="32"/>
      <c r="G62" s="5"/>
      <c r="H62" s="5"/>
      <c r="I62" s="6"/>
      <c r="K62" s="27"/>
    </row>
    <row r="63" spans="1:11" ht="13.5" thickBot="1">
      <c r="A63" s="4" t="s">
        <v>21</v>
      </c>
      <c r="B63" s="5"/>
      <c r="C63" s="12"/>
      <c r="D63" s="5"/>
      <c r="E63" s="5"/>
      <c r="F63" s="2">
        <f>+D49/D47</f>
        <v>0.16216216216216217</v>
      </c>
      <c r="G63" s="5"/>
      <c r="H63" s="5"/>
      <c r="I63" s="6"/>
      <c r="K63" s="27"/>
    </row>
    <row r="64" spans="1:11" ht="13.5" thickBot="1">
      <c r="A64" s="4" t="s">
        <v>20</v>
      </c>
      <c r="B64" s="5"/>
      <c r="C64" s="12"/>
      <c r="D64" s="5"/>
      <c r="E64" s="5"/>
      <c r="F64" s="2">
        <f>IF((F63&gt;K64),F63,K64)</f>
        <v>0.1910828025477707</v>
      </c>
      <c r="G64" s="5"/>
      <c r="H64" s="5"/>
      <c r="I64" s="6"/>
      <c r="K64" s="2">
        <f>+D47*F51/157000</f>
        <v>0.1910828025477707</v>
      </c>
    </row>
    <row r="65" spans="1:9" ht="13.5" thickBot="1">
      <c r="A65" s="4"/>
      <c r="B65" s="5"/>
      <c r="C65" s="12"/>
      <c r="D65" s="5"/>
      <c r="E65" s="5"/>
      <c r="F65" s="32"/>
      <c r="G65" s="5"/>
      <c r="H65" s="5"/>
      <c r="I65" s="6"/>
    </row>
    <row r="66" spans="1:9" ht="13.5" thickBot="1">
      <c r="A66" s="4" t="s">
        <v>23</v>
      </c>
      <c r="B66" s="5"/>
      <c r="C66" s="12"/>
      <c r="D66" s="5"/>
      <c r="E66" s="5"/>
      <c r="F66" s="2">
        <f>+D49/D47</f>
        <v>0.16216216216216217</v>
      </c>
      <c r="G66" s="5"/>
      <c r="H66" s="5"/>
      <c r="I66" s="6"/>
    </row>
    <row r="67" spans="1:11" ht="13.5" thickBot="1">
      <c r="A67" s="4" t="s">
        <v>22</v>
      </c>
      <c r="B67" s="5"/>
      <c r="C67" s="12"/>
      <c r="D67" s="5"/>
      <c r="E67" s="5"/>
      <c r="F67" s="2">
        <f>IF((F66&gt;K67),F66,K67)</f>
        <v>0.18610421836228289</v>
      </c>
      <c r="G67" s="5"/>
      <c r="H67" s="5"/>
      <c r="I67" s="6"/>
      <c r="K67" s="2">
        <f>+D47*F51/161200</f>
        <v>0.18610421836228289</v>
      </c>
    </row>
    <row r="68" spans="1:9" ht="13.5" thickBot="1">
      <c r="A68" s="4"/>
      <c r="B68" s="5"/>
      <c r="C68" s="12"/>
      <c r="D68" s="5"/>
      <c r="E68" s="5"/>
      <c r="F68" s="32"/>
      <c r="G68" s="5"/>
      <c r="H68" s="5"/>
      <c r="I68" s="6"/>
    </row>
    <row r="69" spans="1:9" ht="13.5" thickBot="1">
      <c r="A69" s="4" t="s">
        <v>25</v>
      </c>
      <c r="B69" s="5"/>
      <c r="C69" s="12"/>
      <c r="D69" s="5"/>
      <c r="E69" s="5"/>
      <c r="F69" s="2">
        <f>+D49/D47</f>
        <v>0.16216216216216217</v>
      </c>
      <c r="G69" s="5"/>
      <c r="H69" s="5"/>
      <c r="I69" s="6"/>
    </row>
    <row r="70" spans="1:11" ht="13.5" thickBot="1">
      <c r="A70" s="4" t="s">
        <v>24</v>
      </c>
      <c r="B70" s="5"/>
      <c r="C70" s="12"/>
      <c r="D70" s="5"/>
      <c r="E70" s="5"/>
      <c r="F70" s="2">
        <f>IF((F69&gt;K70),F69,K70)</f>
        <v>0.1799640071985603</v>
      </c>
      <c r="G70" s="5"/>
      <c r="H70" s="5"/>
      <c r="I70" s="6"/>
      <c r="K70" s="2">
        <f>+D47*F51/166700</f>
        <v>0.1799640071985603</v>
      </c>
    </row>
    <row r="71" spans="1:9" ht="13.5" thickBot="1">
      <c r="A71" s="7"/>
      <c r="B71" s="5"/>
      <c r="C71" s="12"/>
      <c r="D71" s="5"/>
      <c r="E71" s="5"/>
      <c r="F71" s="5"/>
      <c r="G71" s="5"/>
      <c r="H71" s="5"/>
      <c r="I71" s="6"/>
    </row>
    <row r="72" spans="1:9" ht="13.5" thickBot="1">
      <c r="A72" s="4" t="s">
        <v>26</v>
      </c>
      <c r="B72" s="5"/>
      <c r="C72" s="12"/>
      <c r="D72" s="5"/>
      <c r="E72" s="5"/>
      <c r="F72" s="2">
        <f>+D49/D47</f>
        <v>0.16216216216216217</v>
      </c>
      <c r="G72" s="5"/>
      <c r="H72" s="5"/>
      <c r="I72" s="6"/>
    </row>
    <row r="73" spans="1:11" ht="13.5" thickBot="1">
      <c r="A73" s="4" t="s">
        <v>27</v>
      </c>
      <c r="B73" s="5"/>
      <c r="C73" s="12"/>
      <c r="D73" s="5"/>
      <c r="E73" s="5"/>
      <c r="F73" s="2">
        <f>IF((F72&gt;K73),F72,K73)</f>
        <v>0.17452006980802792</v>
      </c>
      <c r="G73" s="5"/>
      <c r="H73" s="5"/>
      <c r="I73" s="6"/>
      <c r="K73" s="2">
        <f>+D47*F51/171900</f>
        <v>0.17452006980802792</v>
      </c>
    </row>
    <row r="74" spans="1:11" ht="13.5" thickBot="1">
      <c r="A74" s="4"/>
      <c r="B74" s="5"/>
      <c r="C74" s="12"/>
      <c r="D74" s="5"/>
      <c r="E74" s="5"/>
      <c r="F74" s="32"/>
      <c r="G74" s="5"/>
      <c r="H74" s="5"/>
      <c r="I74" s="6"/>
      <c r="K74" s="27"/>
    </row>
    <row r="75" spans="1:11" ht="13.5" thickBot="1">
      <c r="A75" s="4" t="s">
        <v>28</v>
      </c>
      <c r="B75" s="5"/>
      <c r="C75" s="12"/>
      <c r="D75" s="5"/>
      <c r="E75" s="5"/>
      <c r="F75" s="2">
        <f>+D49/D47</f>
        <v>0.16216216216216217</v>
      </c>
      <c r="G75" s="5"/>
      <c r="H75" s="5"/>
      <c r="I75" s="6"/>
      <c r="K75" s="27"/>
    </row>
    <row r="76" spans="1:11" ht="13.5" thickBot="1">
      <c r="A76" s="4" t="s">
        <v>29</v>
      </c>
      <c r="B76" s="5"/>
      <c r="C76" s="12"/>
      <c r="D76" s="5"/>
      <c r="E76" s="5"/>
      <c r="F76" s="2">
        <f>IF((F75&gt;K76),F75,K76)</f>
        <v>0.1707455890722823</v>
      </c>
      <c r="G76" s="5"/>
      <c r="H76" s="5"/>
      <c r="I76" s="6"/>
      <c r="K76" s="2">
        <f>+D47*F51/175700</f>
        <v>0.1707455890722823</v>
      </c>
    </row>
    <row r="77" spans="1:11" ht="13.5" thickBot="1">
      <c r="A77" s="4"/>
      <c r="B77" s="5"/>
      <c r="C77" s="12"/>
      <c r="D77" s="5"/>
      <c r="E77" s="5"/>
      <c r="F77" s="32"/>
      <c r="G77" s="5"/>
      <c r="H77" s="5"/>
      <c r="I77" s="6"/>
      <c r="K77" s="27"/>
    </row>
    <row r="78" spans="1:11" ht="13.5" thickBot="1">
      <c r="A78" s="4" t="s">
        <v>31</v>
      </c>
      <c r="B78" s="5"/>
      <c r="C78" s="12"/>
      <c r="D78" s="5"/>
      <c r="E78" s="5"/>
      <c r="F78" s="2">
        <f>+D49/D47</f>
        <v>0.16216216216216217</v>
      </c>
      <c r="G78" s="5"/>
      <c r="H78" s="5"/>
      <c r="I78" s="6"/>
      <c r="K78" s="27"/>
    </row>
    <row r="79" spans="1:11" ht="13.5" thickBot="1">
      <c r="A79" s="4" t="s">
        <v>30</v>
      </c>
      <c r="B79" s="5"/>
      <c r="C79" s="12"/>
      <c r="D79" s="5"/>
      <c r="E79" s="5"/>
      <c r="F79" s="2">
        <f>IF((F78&gt;K79),F78,K79)</f>
        <v>0.1665741254858412</v>
      </c>
      <c r="G79" s="5"/>
      <c r="H79" s="5"/>
      <c r="I79" s="6"/>
      <c r="K79" s="2">
        <f>+D47*F51/180100</f>
        <v>0.1665741254858412</v>
      </c>
    </row>
    <row r="80" spans="1:11" ht="13.5" thickBot="1">
      <c r="A80" s="4"/>
      <c r="B80" s="5"/>
      <c r="C80" s="12"/>
      <c r="D80" s="5"/>
      <c r="E80" s="5"/>
      <c r="F80" s="27"/>
      <c r="G80" s="5"/>
      <c r="H80" s="5"/>
      <c r="I80" s="6"/>
      <c r="K80" s="27"/>
    </row>
    <row r="81" spans="1:11" ht="13.5" thickBot="1">
      <c r="A81" s="4" t="s">
        <v>33</v>
      </c>
      <c r="B81" s="5"/>
      <c r="C81" s="12"/>
      <c r="D81" s="5"/>
      <c r="E81" s="5"/>
      <c r="F81" s="2">
        <f>+D49/D47</f>
        <v>0.16216216216216217</v>
      </c>
      <c r="G81" s="5"/>
      <c r="H81" s="5"/>
      <c r="I81" s="6"/>
      <c r="K81" s="27"/>
    </row>
    <row r="82" spans="1:11" ht="13.5" thickBot="1">
      <c r="A82" s="4" t="s">
        <v>32</v>
      </c>
      <c r="B82" s="5"/>
      <c r="C82" s="12"/>
      <c r="D82" s="5"/>
      <c r="E82" s="5"/>
      <c r="F82" s="2">
        <f>IF((F81&gt;K82),F81,K82)</f>
        <v>0.16348773841961853</v>
      </c>
      <c r="G82" s="5"/>
      <c r="H82" s="5"/>
      <c r="I82" s="6"/>
      <c r="K82" s="2">
        <f>+D47*F51/183500</f>
        <v>0.16348773841961853</v>
      </c>
    </row>
    <row r="83" spans="1:9" ht="13.5" thickBot="1">
      <c r="A83" s="34"/>
      <c r="B83" s="9"/>
      <c r="C83" s="13"/>
      <c r="D83" s="9"/>
      <c r="E83" s="9"/>
      <c r="F83" s="9"/>
      <c r="G83" s="9"/>
      <c r="H83" s="9"/>
      <c r="I83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College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Grants &amp; Contracts</dc:creator>
  <cp:keywords/>
  <dc:description/>
  <cp:lastModifiedBy> </cp:lastModifiedBy>
  <dcterms:created xsi:type="dcterms:W3CDTF">1999-11-17T16:24:48Z</dcterms:created>
  <dcterms:modified xsi:type="dcterms:W3CDTF">2006-02-03T23:04:51Z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-264888452</vt:i4>
  </property>
  <property fmtid="{D5CDD505-2E9C-101B-9397-08002B2CF9AE}" pid="3" name="_EmailSubject">
    <vt:lpwstr>Increase in NIH Salary Cap amount and T&amp;E calculation new model</vt:lpwstr>
  </property>
  <property fmtid="{D5CDD505-2E9C-101B-9397-08002B2CF9AE}" pid="4" name="_AuthorEmail">
    <vt:lpwstr>peterm@bcm.tmc.edu</vt:lpwstr>
  </property>
  <property fmtid="{D5CDD505-2E9C-101B-9397-08002B2CF9AE}" pid="5" name="_AuthorEmailDisplayName">
    <vt:lpwstr>Marabella Jr, Peter J</vt:lpwstr>
  </property>
  <property fmtid="{D5CDD505-2E9C-101B-9397-08002B2CF9AE}" pid="6" name="_PreviousAdHocReviewCycleID">
    <vt:i4>-350558466</vt:i4>
  </property>
</Properties>
</file>